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l.r. N1" sheetId="1" r:id="rId1"/>
    <sheet name="ლ.რ. № 2-1" sheetId="2" r:id="rId2"/>
    <sheet name="ლ.რ. № 2-2" sheetId="3" r:id="rId3"/>
    <sheet name="ლ.რ #2-3" sheetId="4" r:id="rId4"/>
    <sheet name="ლ.რ № 2-4" sheetId="5" r:id="rId5"/>
    <sheet name="ლ.რ № 2-5" sheetId="6" r:id="rId6"/>
    <sheet name="ლხ.2-6" sheetId="7" r:id="rId7"/>
    <sheet name="ლ.ხ.2–7" sheetId="8" r:id="rId8"/>
    <sheet name="ლხ.2-8" sheetId="9" r:id="rId9"/>
    <sheet name="ლხ.3" sheetId="10" r:id="rId10"/>
    <sheet name="ლხ.#4-1" sheetId="11" r:id="rId11"/>
    <sheet name="ლ.რ. № 4-2" sheetId="12" r:id="rId12"/>
    <sheet name="ლ.რ. №5" sheetId="13" r:id="rId13"/>
    <sheet name="ლ.რ #6" sheetId="14" r:id="rId14"/>
    <sheet name="ლ.რ. №7" sheetId="15" r:id="rId15"/>
  </sheets>
  <definedNames>
    <definedName name="_xlnm.Print_Area" localSheetId="4">'ლ.რ № 2-4'!$A$1:$G$67</definedName>
    <definedName name="_xlnm.Print_Area" localSheetId="5">'ლ.რ № 2-5'!$A$1:$G$106</definedName>
    <definedName name="_xlnm.Print_Area" localSheetId="1">'ლ.რ. № 2-1'!$A$1:$G$490</definedName>
    <definedName name="_xlnm.Print_Area" localSheetId="2">'ლ.რ. № 2-2'!$A$1:$G$77</definedName>
    <definedName name="_xlnm.Print_Area" localSheetId="11">'ლ.რ. № 4-2'!$A$1:$G$92</definedName>
    <definedName name="_xlnm.Print_Area" localSheetId="12">'ლ.რ. №5'!$A$1:$G$60</definedName>
    <definedName name="_xlnm.Print_Area" localSheetId="14">'ლ.რ. №7'!$A$1:$G$125</definedName>
    <definedName name="_xlnm.Print_Titles" localSheetId="4">'ლ.რ № 2-4'!$7:$7</definedName>
    <definedName name="_xlnm.Print_Titles" localSheetId="5">'ლ.რ № 2-5'!$6:$6</definedName>
    <definedName name="_xlnm.Print_Titles" localSheetId="1">'ლ.რ. № 2-1'!$7:$7</definedName>
    <definedName name="_xlnm.Print_Titles" localSheetId="2">'ლ.რ. № 2-2'!$7:$7</definedName>
    <definedName name="_xlnm.Print_Titles" localSheetId="11">'ლ.რ. № 4-2'!$7:$7</definedName>
    <definedName name="_xlnm.Print_Titles" localSheetId="12">'ლ.რ. №5'!$6:$6</definedName>
    <definedName name="_xlnm.Print_Titles" localSheetId="14">'ლ.რ. №7'!$6:$6</definedName>
  </definedNames>
  <calcPr fullCalcOnLoad="1"/>
</workbook>
</file>

<file path=xl/sharedStrings.xml><?xml version="1.0" encoding="utf-8"?>
<sst xmlns="http://schemas.openxmlformats.org/spreadsheetml/2006/main" count="3192" uniqueCount="941">
  <si>
    <t xml:space="preserve"> SromiTi danaxarji 1,15*0,15</t>
  </si>
  <si>
    <t>saSualo tipis avtogreideri _ 108 cx.Z 1,15*0,0216</t>
  </si>
  <si>
    <t>satkepni sagzao, pnevmosvlaze -18 t 1,15*0,0273</t>
  </si>
  <si>
    <t>mosarwyavi manqana _ 6000 l 1,15*0,0097</t>
  </si>
  <si>
    <t xml:space="preserve"> SromiTi danaxarji 1.15*(1*3,14*0,20)*1.54</t>
  </si>
  <si>
    <t xml:space="preserve"> manqanebi 1.15*(1*3,14*0,20)*0,0373</t>
  </si>
  <si>
    <t>samagri detalebi (1*3,14*0,20)*0.65</t>
  </si>
  <si>
    <t xml:space="preserve"> sxvadasxva masala (1*3,14*0,20)*0,169</t>
  </si>
  <si>
    <t xml:space="preserve"> SromiTi danaxarji 1,15*0,105</t>
  </si>
  <si>
    <t xml:space="preserve"> manqanebi 1,15*0,0538</t>
  </si>
  <si>
    <t>Tboqselis milsadenebis izolaciis mowyoba folgirebuli minabambiT</t>
  </si>
  <si>
    <t xml:space="preserve"> SromiTi danaxarji 1,15*13,8</t>
  </si>
  <si>
    <t xml:space="preserve"> manqanebi 1,15*0,17</t>
  </si>
  <si>
    <t>folgirebuli minabamba</t>
  </si>
  <si>
    <t>silikaturi qafura</t>
  </si>
  <si>
    <t xml:space="preserve"> SromiTi danaxarji 1,3*2,42</t>
  </si>
  <si>
    <t xml:space="preserve"> manqanebi 1,3*0,045</t>
  </si>
  <si>
    <t xml:space="preserve"> SromiTi danaxarji 1,15*0,851</t>
  </si>
  <si>
    <t>manqanebi 1,15*0,0483</t>
  </si>
  <si>
    <t xml:space="preserve"> lursmani </t>
  </si>
  <si>
    <t xml:space="preserve"> SromiTi danaxarji 1,15*0,0794</t>
  </si>
  <si>
    <t xml:space="preserve"> manqanebi 1,15*0,0013</t>
  </si>
  <si>
    <t xml:space="preserve"> plinTusi</t>
  </si>
  <si>
    <t xml:space="preserve"> SromiTi danaxarji 1,15*0,252</t>
  </si>
  <si>
    <t xml:space="preserve"> manqanebi 1,15*0,017</t>
  </si>
  <si>
    <t xml:space="preserve"> zumfara wvrilmarcvlovani</t>
  </si>
  <si>
    <t xml:space="preserve"> zumfara msxvilmarcvlovani</t>
  </si>
  <si>
    <t xml:space="preserve"> SromiTi danaxarjebi 1,15*0,741</t>
  </si>
  <si>
    <t>manqanebi 1,15*0,001</t>
  </si>
  <si>
    <t xml:space="preserve"> fiTxi xis </t>
  </si>
  <si>
    <t xml:space="preserve"> sxvadasxva  masalebi </t>
  </si>
  <si>
    <t xml:space="preserve"> SromiTi danaxarji 1,15*6.66</t>
  </si>
  <si>
    <t xml:space="preserve"> manqanebi 1,15*0,59</t>
  </si>
  <si>
    <t xml:space="preserve"> SromiTi danaxarji 1,15*14,7</t>
  </si>
  <si>
    <t xml:space="preserve"> manqanebi 1,15*1,21</t>
  </si>
  <si>
    <t xml:space="preserve"> SromiTi danaxarji 1,15*34,4</t>
  </si>
  <si>
    <t xml:space="preserve"> manqanebi 1,15*2,2</t>
  </si>
  <si>
    <t xml:space="preserve"> SromiTi danaxarji 1,15*13,5</t>
  </si>
  <si>
    <t xml:space="preserve"> manqanebi 1,15*1,12</t>
  </si>
  <si>
    <t>55</t>
  </si>
  <si>
    <t>73</t>
  </si>
  <si>
    <t>Rirebuleba (lari)</t>
  </si>
  <si>
    <t>sabazro</t>
  </si>
  <si>
    <t xml:space="preserve">zednadebi xarjebi </t>
  </si>
  <si>
    <t>kac.sT</t>
  </si>
  <si>
    <t>ganzomilebis erTeuli</t>
  </si>
  <si>
    <t>#</t>
  </si>
  <si>
    <t>samuSaoTa dasaxeleba</t>
  </si>
  <si>
    <t>raodenoba</t>
  </si>
  <si>
    <t>ganz. erTeulze</t>
  </si>
  <si>
    <t>saproeqto monacemze</t>
  </si>
  <si>
    <t>1</t>
  </si>
  <si>
    <t>kubm</t>
  </si>
  <si>
    <t>cali</t>
  </si>
  <si>
    <t>lari</t>
  </si>
  <si>
    <t>j a m i</t>
  </si>
  <si>
    <t xml:space="preserve"> sxvadasxva masalebi</t>
  </si>
  <si>
    <t>samSeneblo samuSaoebi</t>
  </si>
  <si>
    <t xml:space="preserve"> SromiTi danaxarji</t>
  </si>
  <si>
    <t>kub.m</t>
  </si>
  <si>
    <t>sul xarjTaRricxviT:</t>
  </si>
  <si>
    <t>grZ.m</t>
  </si>
  <si>
    <t>manq.sT</t>
  </si>
  <si>
    <t>sxvadasxva masalebi</t>
  </si>
  <si>
    <t>wert.</t>
  </si>
  <si>
    <t>sul</t>
  </si>
  <si>
    <t xml:space="preserve"> SromiTi danaxarji 1,15*2,06</t>
  </si>
  <si>
    <t>2</t>
  </si>
  <si>
    <t xml:space="preserve"> sxva masala</t>
  </si>
  <si>
    <t>saxarjTaRricxvo mogeba</t>
  </si>
  <si>
    <t>maT Soris SromiTi resursebi</t>
  </si>
  <si>
    <t>5</t>
  </si>
  <si>
    <t>tona</t>
  </si>
  <si>
    <t>wyali</t>
  </si>
  <si>
    <t>kv.m</t>
  </si>
  <si>
    <t>6</t>
  </si>
  <si>
    <t>7</t>
  </si>
  <si>
    <t xml:space="preserve"> kv.m</t>
  </si>
  <si>
    <t>tn</t>
  </si>
  <si>
    <t>gr.m</t>
  </si>
  <si>
    <t>kvm</t>
  </si>
  <si>
    <t>17</t>
  </si>
  <si>
    <t xml:space="preserve"> SromiTi danaxarji 1,15*0,391</t>
  </si>
  <si>
    <t xml:space="preserve"> manqanebi 1,15*0,0321</t>
  </si>
  <si>
    <t>materialuri da SromiTi resursebi</t>
  </si>
  <si>
    <t xml:space="preserve"> manqanebi 1,15*0,0452</t>
  </si>
  <si>
    <t xml:space="preserve"> SromiTi danaxarji 1,15*1,21</t>
  </si>
  <si>
    <t>fari yalibis</t>
  </si>
  <si>
    <t>armatura</t>
  </si>
  <si>
    <t>saqsovi mavTuli</t>
  </si>
  <si>
    <t xml:space="preserve"> manqanebi</t>
  </si>
  <si>
    <t>16</t>
  </si>
  <si>
    <t>22</t>
  </si>
  <si>
    <t>balasti</t>
  </si>
  <si>
    <t>kg</t>
  </si>
  <si>
    <t>komp.</t>
  </si>
  <si>
    <t xml:space="preserve"> manqanebi 1,15*0,92</t>
  </si>
  <si>
    <t>15</t>
  </si>
  <si>
    <t xml:space="preserve"> duRabi wyobis</t>
  </si>
  <si>
    <t xml:space="preserve"> bitumis grunti</t>
  </si>
  <si>
    <t xml:space="preserve"> manqanebi </t>
  </si>
  <si>
    <t xml:space="preserve"> manqanebi 1,15*0,0644</t>
  </si>
  <si>
    <t>duRabi mosapirkeTebeli</t>
  </si>
  <si>
    <t xml:space="preserve"> manqanebi 1,15*(0,95+3*0,23)/100</t>
  </si>
  <si>
    <t>msxvilfraqciuli duRabi (2,04+3*0,51)/100</t>
  </si>
  <si>
    <t>webo-cementi</t>
  </si>
  <si>
    <t xml:space="preserve"> cementis mWimis mowyoba sisqiT 3.5 sm</t>
  </si>
  <si>
    <t xml:space="preserve">metlaxis fila </t>
  </si>
  <si>
    <t xml:space="preserve"> manqanebi 1,15*0,02</t>
  </si>
  <si>
    <t xml:space="preserve"> kafeli</t>
  </si>
  <si>
    <t>qviSa kvarcis</t>
  </si>
  <si>
    <t>cementi</t>
  </si>
  <si>
    <t>3</t>
  </si>
  <si>
    <t>4</t>
  </si>
  <si>
    <t>karisa da fanjris ferdoebis SebaTqaSeba</t>
  </si>
  <si>
    <t xml:space="preserve"> sxva manqanebi 1,15*0,011</t>
  </si>
  <si>
    <t xml:space="preserve"> manqanebi 1,15*0,0166</t>
  </si>
  <si>
    <t>lursmani</t>
  </si>
  <si>
    <t>plastmasis Weris profili siganiT 28 sm</t>
  </si>
  <si>
    <t>plastmasis kuTxovana</t>
  </si>
  <si>
    <t xml:space="preserve"> manqanebi 1,15*0,0138</t>
  </si>
  <si>
    <t>9</t>
  </si>
  <si>
    <t>10</t>
  </si>
  <si>
    <t>13</t>
  </si>
  <si>
    <t>21</t>
  </si>
  <si>
    <t>24</t>
  </si>
  <si>
    <t>8</t>
  </si>
  <si>
    <t xml:space="preserve"> manqanebi 1,15*0,0003</t>
  </si>
  <si>
    <t xml:space="preserve"> saRebavi zeTovani gamxsneliT</t>
  </si>
  <si>
    <t xml:space="preserve"> olifa</t>
  </si>
  <si>
    <t>komp</t>
  </si>
  <si>
    <t xml:space="preserve"> manqanebi 1,15*0,0021</t>
  </si>
  <si>
    <t xml:space="preserve"> milsadenebis hidravlikuri gamocda</t>
  </si>
  <si>
    <t>plastmasis sakanalizacio milis gayvana _ diametriT 50 mm</t>
  </si>
  <si>
    <t>samagri detalebi</t>
  </si>
  <si>
    <t xml:space="preserve"> xelsabanis dayeneba</t>
  </si>
  <si>
    <t xml:space="preserve"> sxvadasxva masala</t>
  </si>
  <si>
    <t>sakanalizacio plastmasis mili ф50 mm</t>
  </si>
  <si>
    <t>sakanalizacio plastmasis mili ф100 mm</t>
  </si>
  <si>
    <t xml:space="preserve"> gruntis gaTxra arxSi xeliT</t>
  </si>
  <si>
    <t xml:space="preserve"> manqanebi 1,15*0,305</t>
  </si>
  <si>
    <t xml:space="preserve">duRabi cementis 1:2 </t>
  </si>
  <si>
    <t>sakanalizacio xufi Tujis</t>
  </si>
  <si>
    <t>manqanebi 1,15*0,06</t>
  </si>
  <si>
    <t>14</t>
  </si>
  <si>
    <t>Semyvan-gamanawilebeli fari</t>
  </si>
  <si>
    <t>gamanawilebeli kolofi</t>
  </si>
  <si>
    <t>erTpolusa CamrTveli samontaJo kolofiT</t>
  </si>
  <si>
    <t>orpolusa CamrTveli samontaJo kolofiT</t>
  </si>
  <si>
    <t>Stefseluri rozeti damiwebis kontaqtiTa da samontaJo kolofiT</t>
  </si>
  <si>
    <t>zednadebi xarjebi SromiTi resursebidan</t>
  </si>
  <si>
    <t>kompl</t>
  </si>
  <si>
    <t>11</t>
  </si>
  <si>
    <t xml:space="preserve"> kvm</t>
  </si>
  <si>
    <t xml:space="preserve"> SromiTi danaxarji 1,15*3,6</t>
  </si>
  <si>
    <t xml:space="preserve"> wvrili sakedle bloki sisqiT 20 sm 0,92/(0,39*0,19*0,188)</t>
  </si>
  <si>
    <t xml:space="preserve"> SromiTi danaxarji 1,15*54,3</t>
  </si>
  <si>
    <t>manqanebi 1,15*1,38</t>
  </si>
  <si>
    <t xml:space="preserve"> SromiTi danaxarji 1,15*1,0</t>
  </si>
  <si>
    <t xml:space="preserve"> SromiTi danaxarji 1,15*0,3</t>
  </si>
  <si>
    <t>18</t>
  </si>
  <si>
    <t>silikoni</t>
  </si>
  <si>
    <t>tub</t>
  </si>
  <si>
    <t xml:space="preserve"> SromiTi danaxarji 1,15*0,312</t>
  </si>
  <si>
    <t xml:space="preserve"> SromiTi danaxarji 1,15*(18,8+3*0,34)/100</t>
  </si>
  <si>
    <t xml:space="preserve"> SromiTi danaxarji 1,15*1,08</t>
  </si>
  <si>
    <t>iatakze xaoiani zedapiris metlaxis filebis dageba</t>
  </si>
  <si>
    <t xml:space="preserve"> SromiTi danaxarji 1,15*(210+2*18,3)/100</t>
  </si>
  <si>
    <t xml:space="preserve"> manqanebi 1,15*(2,32+2*0,2)/100</t>
  </si>
  <si>
    <t xml:space="preserve"> marmarilos nafxvenis dekoratiuli duRabi (2,04+2*0,51)/100</t>
  </si>
  <si>
    <t>23</t>
  </si>
  <si>
    <t xml:space="preserve"> SromiTi danaxarji 1,15*1,14</t>
  </si>
  <si>
    <t>svel wertilebSi Sekiduli Weris mowyoba plastikatis profilebiT, siganiT 28 sm, xis karkasis mowyobiT</t>
  </si>
  <si>
    <t>xsnaris tumbo 1 kub.m/sT 1,15*0,041</t>
  </si>
  <si>
    <t>sxva manqanebi 1,15*0,027</t>
  </si>
  <si>
    <t xml:space="preserve"> SromiTi danaxarji 1,15*2,19</t>
  </si>
  <si>
    <t xml:space="preserve"> SromiTi danaxarji 1,15*0,388</t>
  </si>
  <si>
    <t xml:space="preserve"> liTonis karis SeRebva</t>
  </si>
  <si>
    <t>wyalemulsiuri saRebavi (63+63)/2/100</t>
  </si>
  <si>
    <t xml:space="preserve"> fiTxi (79+29+92+32)/2/100</t>
  </si>
  <si>
    <t>100 kvm v.pr</t>
  </si>
  <si>
    <t xml:space="preserve"> xaraCos liTonis detalebi</t>
  </si>
  <si>
    <t xml:space="preserve"> xaraCos xis detalebi</t>
  </si>
  <si>
    <t xml:space="preserve"> fenilis fari</t>
  </si>
  <si>
    <t xml:space="preserve"> SromiTi danaxarji 1,15*45,9</t>
  </si>
  <si>
    <t xml:space="preserve">lokalur-resursuli uwyisis jami: 
</t>
  </si>
  <si>
    <t>I. samontaJo samuSaoebi</t>
  </si>
  <si>
    <t>wyalmomarageba</t>
  </si>
  <si>
    <t xml:space="preserve"> kanalizacia</t>
  </si>
  <si>
    <t>12</t>
  </si>
  <si>
    <t>kanalizacia</t>
  </si>
  <si>
    <t>fasonuri nawilebi ф50 mm</t>
  </si>
  <si>
    <t>fasonuri nawilebi ф100 mm</t>
  </si>
  <si>
    <t xml:space="preserve"> xelsabani (sifoni, gamSvebi) </t>
  </si>
  <si>
    <t xml:space="preserve"> SromiTi danaxarji 1,15*0,37</t>
  </si>
  <si>
    <t xml:space="preserve"> manqanebi 1,15*0,0136</t>
  </si>
  <si>
    <t xml:space="preserve"> SromiTi danaxarji 1,15*1,51</t>
  </si>
  <si>
    <t xml:space="preserve"> manqanebi 1,15*0,13</t>
  </si>
  <si>
    <t xml:space="preserve"> SromiTi danaxarji 1,15*0,82</t>
  </si>
  <si>
    <t xml:space="preserve"> manqanebi 1,15*0,01</t>
  </si>
  <si>
    <t xml:space="preserve"> SromiTi danaxarji 1,15*0,0516</t>
  </si>
  <si>
    <t xml:space="preserve"> SromiTi danaxarji 1,15*0,609</t>
  </si>
  <si>
    <t xml:space="preserve"> SromiTi danaxarji 1,15*0,583</t>
  </si>
  <si>
    <t xml:space="preserve"> manqanebi 1,15*0,0046</t>
  </si>
  <si>
    <t xml:space="preserve"> SromiTi danaxarji 1,15*1,56</t>
  </si>
  <si>
    <t xml:space="preserve"> manqanebi 1,15*0,06</t>
  </si>
  <si>
    <t>lokalur-resursuli uwyisis jami:</t>
  </si>
  <si>
    <t>ventili radiatoris (Sesvla)</t>
  </si>
  <si>
    <t>uku ventili radiatoris</t>
  </si>
  <si>
    <t xml:space="preserve"> SromiTi danaxarji 1,15*1,41</t>
  </si>
  <si>
    <t xml:space="preserve"> manqanebi 1,15*0,161</t>
  </si>
  <si>
    <t xml:space="preserve"> SromiTi danaxarji 1,15*0,345</t>
  </si>
  <si>
    <t xml:space="preserve"> manqanebi 1,15*0,0129</t>
  </si>
  <si>
    <t>damiwebis eleqtrodi ф18 mm</t>
  </si>
  <si>
    <t>zolovana 40х4</t>
  </si>
  <si>
    <t>Weris sanaTuris dayeneba varvarebis naTuriT</t>
  </si>
  <si>
    <t xml:space="preserve"> SromiTi danaxarji 1,15*3,17</t>
  </si>
  <si>
    <t xml:space="preserve"> SromiTi danaxarji 1,15*0,604</t>
  </si>
  <si>
    <t xml:space="preserve"> SromiTi danaxarji 1,15*0,882</t>
  </si>
  <si>
    <t xml:space="preserve"> SromiTi danaxarji 1,15*0,566</t>
  </si>
  <si>
    <t xml:space="preserve"> SromiTi danaxarji 1,15*1,52</t>
  </si>
  <si>
    <t xml:space="preserve"> SromiTi danaxarji 1,15*0,192</t>
  </si>
  <si>
    <t xml:space="preserve"> SromiTi danaxarji 1,15*0,139</t>
  </si>
  <si>
    <t xml:space="preserve"> SromiTi danaxarji 1,15*0,219</t>
  </si>
  <si>
    <t xml:space="preserve"> SromiTi danaxarji 1,15*0,59</t>
  </si>
  <si>
    <t>SeduRebis agregati 1,15*0,12</t>
  </si>
  <si>
    <t xml:space="preserve"> eleqtrodebis CaRrmavebis mowyobiloba 1,15*0,45</t>
  </si>
  <si>
    <t xml:space="preserve"> SromiTi danaxarji 1,15*1,32</t>
  </si>
  <si>
    <t>SeduRebis agregati 1,15*0,0035</t>
  </si>
  <si>
    <t>manqanebi 1,15*0,123</t>
  </si>
  <si>
    <t xml:space="preserve"> SromiTi danaxarji 1,15*26,6</t>
  </si>
  <si>
    <t xml:space="preserve"> SromiTi danaxarji 1,15*17</t>
  </si>
  <si>
    <t>qviSa</t>
  </si>
  <si>
    <t>kbm</t>
  </si>
  <si>
    <t xml:space="preserve"> SromiTi danaxarji 1,15*0,0959</t>
  </si>
  <si>
    <t xml:space="preserve"> SromiTi danaxarji 1,15*1,38</t>
  </si>
  <si>
    <t>skolis Senoba</t>
  </si>
  <si>
    <t>19</t>
  </si>
  <si>
    <t>wyalsadenis CarTva arsebul qselSi</t>
  </si>
  <si>
    <t xml:space="preserve"> SromiTi danaxarji 1,15*1,24</t>
  </si>
  <si>
    <t>manqanebi 1,15*0,26</t>
  </si>
  <si>
    <t>Stuceri; caluRi, „mjdomara“</t>
  </si>
  <si>
    <t>lokalur-resursuli xarjTaRricxva #2/2</t>
  </si>
  <si>
    <t>20</t>
  </si>
  <si>
    <t>avtomaturi haergamSvebi</t>
  </si>
  <si>
    <t>zambariani damcavi sarqveli</t>
  </si>
  <si>
    <t>25</t>
  </si>
  <si>
    <t>27</t>
  </si>
  <si>
    <t>Termomanometri</t>
  </si>
  <si>
    <t>saizolacio folgirebuli minbamba</t>
  </si>
  <si>
    <t>saizolacio skotCi</t>
  </si>
  <si>
    <t>rul.</t>
  </si>
  <si>
    <t>avtomaturi haergamSvebis dayeneba</t>
  </si>
  <si>
    <t>Termomanometris dayeneba</t>
  </si>
  <si>
    <t xml:space="preserve"> SromiTi danaxarji 1.15*13.3</t>
  </si>
  <si>
    <t xml:space="preserve"> manqanebi 1.15*0.39</t>
  </si>
  <si>
    <t xml:space="preserve"> SromiTi danaxarji 1,15*5.58</t>
  </si>
  <si>
    <t xml:space="preserve"> manqanebi 1.15*0.01</t>
  </si>
  <si>
    <t xml:space="preserve"> SromiTi danaxarji 1.15*3.8</t>
  </si>
  <si>
    <t xml:space="preserve"> manqanebi 1.15*0.22</t>
  </si>
  <si>
    <t xml:space="preserve"> SromiTi danaxarji 1.15*0.864</t>
  </si>
  <si>
    <t xml:space="preserve"> manqanebi 1.15*0.052</t>
  </si>
  <si>
    <t xml:space="preserve"> SromiTi danaxarji 1,15*0.45</t>
  </si>
  <si>
    <t xml:space="preserve"> manqanebi 1,15*0.0122</t>
  </si>
  <si>
    <t xml:space="preserve"> SromiTi danaxarji 1,15*2.67</t>
  </si>
  <si>
    <t xml:space="preserve"> manqanebi 1.15*0.29</t>
  </si>
  <si>
    <t xml:space="preserve"> SromiTi danaxarji 1.15*1,51</t>
  </si>
  <si>
    <t xml:space="preserve"> manqanebi 1,15*0.13</t>
  </si>
  <si>
    <t xml:space="preserve"> SromiTi danaxarji 1,15*1.59</t>
  </si>
  <si>
    <t xml:space="preserve"> manqanebi 1.15*0.06</t>
  </si>
  <si>
    <t xml:space="preserve"> SromiTi danaxarji 1.15*0.31</t>
  </si>
  <si>
    <t>izolaciis mowyoba folgirebuli minbambiT</t>
  </si>
  <si>
    <t xml:space="preserve"> SromiTi danaxarji 1,15*13.8</t>
  </si>
  <si>
    <t xml:space="preserve"> manqanebi 1.15*0.17</t>
  </si>
  <si>
    <t>lokalur-resursuli xarjTaRricxva #2/1</t>
  </si>
  <si>
    <t xml:space="preserve"> wvrili sakedle bloki sisqiT 10 sm</t>
  </si>
  <si>
    <t>eleqtrodi</t>
  </si>
  <si>
    <t xml:space="preserve"> armatura</t>
  </si>
  <si>
    <t>saWreli qvebi</t>
  </si>
  <si>
    <t xml:space="preserve"> manqanebi 1,15*0,0662</t>
  </si>
  <si>
    <t xml:space="preserve"> SromiTi danaxarji 1,15*0,74</t>
  </si>
  <si>
    <t>SromiTi da materialuri resursi</t>
  </si>
  <si>
    <t>gazi</t>
  </si>
  <si>
    <t>56</t>
  </si>
  <si>
    <t xml:space="preserve"> SromiTi danaxarji 1,15*0,536</t>
  </si>
  <si>
    <t xml:space="preserve"> manqanebi 1,15*0,0365</t>
  </si>
  <si>
    <t>laminirebuli parketi plinTusiT da Rrubelis safuZveliT</t>
  </si>
  <si>
    <t xml:space="preserve"> sxvadasxva  masalebi</t>
  </si>
  <si>
    <t xml:space="preserve">metlaxis plinTusebis mowyoba  </t>
  </si>
  <si>
    <t xml:space="preserve"> SromiTi danaxarji 1,15*0,269</t>
  </si>
  <si>
    <t xml:space="preserve"> manqanebi 1,15*0,01160</t>
  </si>
  <si>
    <t xml:space="preserve"> meTlaxis fila </t>
  </si>
  <si>
    <t>sxvadasxva saxeobis iatakebis Sepirapirebis adgilebSi dekoratiuli liTonis profilis mowyoba</t>
  </si>
  <si>
    <t>dekoratiuli liTonis profili</t>
  </si>
  <si>
    <t>grm</t>
  </si>
  <si>
    <t xml:space="preserve"> SromiTi danaxarji 1,15*0,206</t>
  </si>
  <si>
    <t>54</t>
  </si>
  <si>
    <t>Sida zedapirebis SebaTqaSeba</t>
  </si>
  <si>
    <t xml:space="preserve"> SromiTi danaxarji 1,15*(101+106)/2/100</t>
  </si>
  <si>
    <t>duRabi mosapirkeTebeli (2,38+2,44)/2/100</t>
  </si>
  <si>
    <t xml:space="preserve"> sxvadasxva masalebi (0,003+0,002)/2</t>
  </si>
  <si>
    <t xml:space="preserve"> SromiTi danaxarji 1,15*(65,8+85,6)/2/100*30%</t>
  </si>
  <si>
    <t xml:space="preserve"> manqanebi 1,15*[(1+1,2)]/2/100*30%</t>
  </si>
  <si>
    <t xml:space="preserve"> sxvadasxva masalebi (1.6+1.8)/2/100*30%</t>
  </si>
  <si>
    <t xml:space="preserve"> SromiTi danaxarji 1,15*[(65,8+85,6)/2/100*70%+(11,5+15,8)/2/100]</t>
  </si>
  <si>
    <t xml:space="preserve"> manqanebi 1,15*[(1+1,2)/2/100*70%+0,2/100</t>
  </si>
  <si>
    <t xml:space="preserve"> sxvadasxva masalebi (1.6+1.8)/2/100*70%+0,42/100</t>
  </si>
  <si>
    <t>fari yalibis laminirebuli</t>
  </si>
  <si>
    <t xml:space="preserve"> manqanebi 1,15*0,81</t>
  </si>
  <si>
    <t>SromiTi danaxarji 1,15*8.4</t>
  </si>
  <si>
    <t>mTavari gamanawilebeli karada</t>
  </si>
  <si>
    <t>Weris sanaTi erTnaTuriani</t>
  </si>
  <si>
    <t xml:space="preserve"> SromiTi danaxarji 1,15*7</t>
  </si>
  <si>
    <t>manqanebi 1,15*0,74</t>
  </si>
  <si>
    <t>57</t>
  </si>
  <si>
    <t>58</t>
  </si>
  <si>
    <t>66</t>
  </si>
  <si>
    <t>l</t>
  </si>
  <si>
    <t xml:space="preserve"> SromiTi danaxarji 1.15*38,1</t>
  </si>
  <si>
    <t xml:space="preserve"> manqanebi 1.15*4,84</t>
  </si>
  <si>
    <t>gamwovi ventilatori d=100 mm</t>
  </si>
  <si>
    <t xml:space="preserve"> SromiTi danaxarji 1,15*2,44</t>
  </si>
  <si>
    <t>plastmasis sakanalizacio milis gayvana _ diametriT 100 mm</t>
  </si>
  <si>
    <t xml:space="preserve"> gofrirebuli plastmasis mili ф150 mm</t>
  </si>
  <si>
    <t>quro rezinis rgoliT ф150 mm</t>
  </si>
  <si>
    <t>avtobetonis tumbo</t>
  </si>
  <si>
    <t>51</t>
  </si>
  <si>
    <t>65</t>
  </si>
  <si>
    <t>lokalur-resursuli xarjTaRricxva #5</t>
  </si>
  <si>
    <t xml:space="preserve"> SromiTi danaxarji 1,15*13,3</t>
  </si>
  <si>
    <t xml:space="preserve"> manqanebi 1,15*3,36</t>
  </si>
  <si>
    <t xml:space="preserve"> SromiTi danaxarji 1,15*8,54</t>
  </si>
  <si>
    <t xml:space="preserve"> manqanebi 1,15*1,06</t>
  </si>
  <si>
    <t>mili plastmasis armirebuli Dd- 20 mm</t>
  </si>
  <si>
    <t>mili plastmasis armirebuli Dd- 25 mm</t>
  </si>
  <si>
    <t>mili plastmasis armirebuli Dd- 32 mm</t>
  </si>
  <si>
    <t>mili plastmasis armirebuli Dd- 50 mm</t>
  </si>
  <si>
    <t>fitingi d-20 - 32 mm</t>
  </si>
  <si>
    <t>ventili  Dd- 32 mm</t>
  </si>
  <si>
    <t>onkani</t>
  </si>
  <si>
    <t xml:space="preserve">gegmiuri dagroveba </t>
  </si>
  <si>
    <t>gare wyalkanalizaciis qselebi</t>
  </si>
  <si>
    <t>gare Tboqselis mowyoba</t>
  </si>
  <si>
    <t>ficari wiwvovani jiSis δsisqiT 25_32 mm</t>
  </si>
  <si>
    <t>ficari wiwvovani jiSis sisqiT 40 mm</t>
  </si>
  <si>
    <t>ficari wiwvovani δsisqiT 40 mm</t>
  </si>
  <si>
    <t>ficari wiwvovani jiSis, δsisqiT 40 mm</t>
  </si>
  <si>
    <t>ficari wiwvovani jiSis, II xarisxis, δsisqiT 40 mm</t>
  </si>
  <si>
    <t>ficari wiwvovani jiSis δsisqiT 40 mm</t>
  </si>
  <si>
    <t>gaTbobis sistemis mowyoba</t>
  </si>
  <si>
    <t>foladis paneluri radiatori simaRliT 60 sm</t>
  </si>
  <si>
    <t xml:space="preserve">plastmasis armirebuli gaTbobis milebis gayvana _ diametriT 20_40 mm  </t>
  </si>
  <si>
    <t xml:space="preserve"> SromiTi danaxarji 1,15*0,432</t>
  </si>
  <si>
    <t xml:space="preserve"> manqanebi 1,15*0,0259</t>
  </si>
  <si>
    <t xml:space="preserve"> SromiTi danaxarji 1,15*0,571</t>
  </si>
  <si>
    <t xml:space="preserve"> manqanebi 1,15*0.0398</t>
  </si>
  <si>
    <t xml:space="preserve"> milsadenebis hidravlikuri gamocda _ diametriT 20_50 mm</t>
  </si>
  <si>
    <t xml:space="preserve"> milsadenebis hidravlikuri gamocda _ diametriT 63 mm</t>
  </si>
  <si>
    <t xml:space="preserve"> manqanebi 1,15*0,29</t>
  </si>
  <si>
    <t>milsadenebze Camketi armaturis (d-63 mm ventili) dayeneba diametriT 100 mm-de</t>
  </si>
  <si>
    <t>ventili  Dd- 20 mm</t>
  </si>
  <si>
    <t>ventili  Dd- 40 mm</t>
  </si>
  <si>
    <t>ventili  Dd- 63 mm</t>
  </si>
  <si>
    <t>mili plastmasis armirebuli Dd- 40 mm</t>
  </si>
  <si>
    <t>fitingi Dd-40 - 63 mm</t>
  </si>
  <si>
    <t>milsadenebze Camketi armaturis (radiatoris ventilebi da ukuventilebi, d-20, d-32 da d-40 mm ventilebi) dayeneba diametriT 50 mm-de</t>
  </si>
  <si>
    <t>mili plastmasis armirebuli Dd-63 mm</t>
  </si>
  <si>
    <t xml:space="preserve">plastmasis armirebuli gaTbobis milebis gayvana _ diametriT 50 mm (fasonuri nawilebiT)  </t>
  </si>
  <si>
    <t xml:space="preserve">plastmasis armirebuli gaTbobis milebis gayvana _ diametriT 63 mm (fasonuri nawilebiT) </t>
  </si>
  <si>
    <t>onkanebis dayeneba</t>
  </si>
  <si>
    <t xml:space="preserve">satevi (Camrecxi avziT) </t>
  </si>
  <si>
    <t>satevis (Camrecxi avziT) dayeneba</t>
  </si>
  <si>
    <t>200 000 kkal.sT simZlavris gaTbobis qvabis damontaJeba</t>
  </si>
  <si>
    <t>milsadenebze Camketi armaturis (ventili) _ diametriT 63 mm</t>
  </si>
  <si>
    <t>uku sarqveli  Dd- 32 mm</t>
  </si>
  <si>
    <t>gadasaxsneli Dd- 32 mm</t>
  </si>
  <si>
    <t>fitingi Dd- 25 - 32 mm</t>
  </si>
  <si>
    <t>ventili  Dd- 25 mm</t>
  </si>
  <si>
    <t>mili plastmasis armirebuli Dd- 63 mm</t>
  </si>
  <si>
    <t>gaTbobis qvabi simZlavriT 200 000 kkal.sT</t>
  </si>
  <si>
    <t>fitingi Dd- 63 mm</t>
  </si>
  <si>
    <t>mili plastmasis armirebuli d- 63 mm</t>
  </si>
  <si>
    <t>fitingi Dd-32 mm</t>
  </si>
  <si>
    <t>mili plastmasis Dd-32 mm</t>
  </si>
  <si>
    <r>
      <t xml:space="preserve">monoliTuri betonis  sakanalizacio Wis (2 cali)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klasis betoniT, Tujis xufiT </t>
    </r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</si>
  <si>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 xml:space="preserve">-20 kl. </t>
    </r>
  </si>
  <si>
    <t>ficari wiwvovani jiSis, δsisqiT 25_32 mm</t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</si>
  <si>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-7,5 kl.</t>
    </r>
  </si>
  <si>
    <t xml:space="preserve"> saxanZro signalizaciis marTvis panelis, akumulatoriT, dayeneba</t>
  </si>
  <si>
    <t>samisamarTo xelis Rilakiani deteqtoris dayeneba</t>
  </si>
  <si>
    <t>sirena - sayviris dayeneba</t>
  </si>
  <si>
    <t xml:space="preserve"> grZ.m</t>
  </si>
  <si>
    <t>maT Soris SromiTi resursi</t>
  </si>
  <si>
    <t>zednadebi xarjebi (SromiTi resursebidan)</t>
  </si>
  <si>
    <t>saxanZro signalizaciis mowyoba</t>
  </si>
  <si>
    <r>
      <t>saxanZro signalizaciis kabeli 2×2×0,8 mm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 xml:space="preserve">² </t>
    </r>
  </si>
  <si>
    <r>
      <t>sirenis xazis kabeli 2×1.5 mm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 xml:space="preserve">² </t>
    </r>
  </si>
  <si>
    <t>ormxriv manaTobeli gasasvlelis maniSnebeli abra</t>
  </si>
  <si>
    <t>samisamarTo kvamlis deteqtorisa da universaluri samagri Ziris dayeneba</t>
  </si>
  <si>
    <t>sirena 100 dv.</t>
  </si>
  <si>
    <r>
      <t>universaluri samagri Ziri X</t>
    </r>
    <r>
      <rPr>
        <sz val="10"/>
        <rFont val="Academiuri Nuskhuri"/>
        <family val="0"/>
      </rPr>
      <t>P</t>
    </r>
    <r>
      <rPr>
        <sz val="10"/>
        <rFont val="LitNusx"/>
        <family val="0"/>
      </rPr>
      <t>95</t>
    </r>
  </si>
  <si>
    <r>
      <t xml:space="preserve">akumulatori </t>
    </r>
    <r>
      <rPr>
        <sz val="10"/>
        <rFont val="Academiuri Nuskhuri"/>
        <family val="0"/>
      </rPr>
      <t>RSA</t>
    </r>
    <r>
      <rPr>
        <sz val="10"/>
        <rFont val="LitNusx"/>
        <family val="0"/>
      </rPr>
      <t>15</t>
    </r>
  </si>
  <si>
    <t>ormxrivi manaTobeli gasasvlelis maniSnebeli abris dayeneba</t>
  </si>
  <si>
    <t xml:space="preserve"> SromiTi danaxarji 1.15*31</t>
  </si>
  <si>
    <t xml:space="preserve"> SromiTi danaxarji 1.15*1</t>
  </si>
  <si>
    <t xml:space="preserve"> SromiTi danaxarji 1.15*2</t>
  </si>
  <si>
    <t xml:space="preserve"> SromiTi danaxarji 1.15*3</t>
  </si>
  <si>
    <t xml:space="preserve"> SromiTi danaxarji 1.15*0.13</t>
  </si>
  <si>
    <t xml:space="preserve"> sxvadasxva masalebi </t>
  </si>
  <si>
    <t>luminescenturi sanaTi 4 х 40 vt  naTuriT da starteriT</t>
  </si>
  <si>
    <t>kedlis proJeqtoruli sanaTi damcavi liTonis baduriT</t>
  </si>
  <si>
    <t xml:space="preserve"> SromiTi danaxarji 1.15*1.67</t>
  </si>
  <si>
    <t>kedlis proJeqtoruli sanaTis liTonis damcavi badiT dayeneba</t>
  </si>
  <si>
    <t xml:space="preserve"> SromiTi danaxarji 1.15*0.695</t>
  </si>
  <si>
    <t xml:space="preserve"> SromiTi danaxarji 1,15*0,48</t>
  </si>
  <si>
    <t xml:space="preserve"> damiwebis horizontaluri konturis mowyoba 40X4 zolovanaTi</t>
  </si>
  <si>
    <t>d-18 mm damiwebis eleqtrodebis, simaRliT 3 m, Casoba gruntSi</t>
  </si>
  <si>
    <t>erT polusa Cafluli tipis CamrTvelis dayeneba</t>
  </si>
  <si>
    <t>orpolusa Cafluli tipis CamrTvelis dayeneba</t>
  </si>
  <si>
    <t xml:space="preserve"> 60X40 kabel arxebis gayvana magistraluri sadenisaTvis</t>
  </si>
  <si>
    <t>luminescenturi sanaTis 4X40 vt dayeneba naTuriT</t>
  </si>
  <si>
    <t>Weris sanaTi erTnaTuriani hermetuli Sesrulebis</t>
  </si>
  <si>
    <t>sampolusa avtomaturi amomrTveli 25 a</t>
  </si>
  <si>
    <t>sampolusa avtomaturi amomrTveli 16 a</t>
  </si>
  <si>
    <t>erTpolusa avtomaturi amomrTveli 16 a</t>
  </si>
  <si>
    <t xml:space="preserve">orZarRva spilenZis sadeni 2×2,5 kv.mm² </t>
  </si>
  <si>
    <t xml:space="preserve">samZarRva spilenZis sadeni 3×2,5 kv.mm² </t>
  </si>
  <si>
    <t xml:space="preserve">samZarRva spilenZis sadeni 3×4 kv.mm² </t>
  </si>
  <si>
    <t xml:space="preserve">xuTZarRva spilenZis kabeli 5X6 kv.mm² </t>
  </si>
  <si>
    <t>sakabelo arxi 60X40</t>
  </si>
  <si>
    <t>28</t>
  </si>
  <si>
    <r>
      <t>betoni B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-20 kl.</t>
    </r>
  </si>
  <si>
    <t>sportdarbazSi xis iatakebis qveS lagebis dageba</t>
  </si>
  <si>
    <t xml:space="preserve"> xis koWebi antiseptirebuli</t>
  </si>
  <si>
    <t>xis plinTusebis mowyoba simaRliT 7 sm</t>
  </si>
  <si>
    <t xml:space="preserve"> SromiTi danaxarjebi 1.15*0.255</t>
  </si>
  <si>
    <t xml:space="preserve"> sxvadasxva manqanebi 1.15*0.0099</t>
  </si>
  <si>
    <t xml:space="preserve"> SromiTi danaxarjebi 1,15*0.227</t>
  </si>
  <si>
    <t xml:space="preserve"> sxvadasxva manqanebi 1.15*0.0275</t>
  </si>
  <si>
    <t xml:space="preserve"> ficari iatakis mSrali δsisqiT 25 mm</t>
  </si>
  <si>
    <t xml:space="preserve"> ficari iatakis mSrali Sipebiani sisqiT 37 mm</t>
  </si>
  <si>
    <t>svel wertilebSi kedelze kafelis filebis akvra</t>
  </si>
  <si>
    <r>
      <t xml:space="preserve">erTwrediani saxanZro signalizaciis marTvis paneli </t>
    </r>
    <r>
      <rPr>
        <sz val="10"/>
        <rFont val="Academiuri Nuskhuri"/>
        <family val="0"/>
      </rPr>
      <t>C</t>
    </r>
    <r>
      <rPr>
        <sz val="10"/>
        <rFont val="LitNusx"/>
        <family val="0"/>
      </rPr>
      <t>-</t>
    </r>
    <r>
      <rPr>
        <sz val="10"/>
        <rFont val="Academiuri Nuskhuri"/>
        <family val="0"/>
      </rPr>
      <t>TEC</t>
    </r>
    <r>
      <rPr>
        <sz val="10"/>
        <rFont val="LitNusx"/>
        <family val="0"/>
      </rPr>
      <t xml:space="preserve">  </t>
    </r>
  </si>
  <si>
    <t xml:space="preserve">sul </t>
  </si>
  <si>
    <t>luminescenturi sanaTi 4 х 40 vt naTuriT da starteriT</t>
  </si>
  <si>
    <t>Sida santeqnikuri samuSaoebi</t>
  </si>
  <si>
    <t xml:space="preserve"> manqanebi 1.15*1.5</t>
  </si>
  <si>
    <t>lokalur-resursuli xarjTaRricxva #7</t>
  </si>
  <si>
    <t xml:space="preserve">lokalur-resursuli uwyisis jami </t>
  </si>
  <si>
    <t xml:space="preserve">sul xarjTaRricxviT: </t>
  </si>
  <si>
    <t>kordis dageba mcenareuli niadagis da humusovani fenis SetaniT</t>
  </si>
  <si>
    <t xml:space="preserve"> SromiTi da materialuri resursi</t>
  </si>
  <si>
    <t>Zelaki wiwvovani jiSis, δsisqiT 40_60 mm</t>
  </si>
  <si>
    <t>armirebuli kedlebis wyoba mcire sakedle blokebiT sisqiT 20 sm.</t>
  </si>
  <si>
    <t>Tunuqi galvanizirebuli (0,35*3,925*1,05)</t>
  </si>
  <si>
    <t xml:space="preserve">SezRuduli SesaZleblobis mqone pirTaTvis gankuTvnil sapirfareSoSi uJangavi liTonis saxeluris mowyoba </t>
  </si>
  <si>
    <t xml:space="preserve"> xis zedapirebis moxvewa  </t>
  </si>
  <si>
    <t xml:space="preserve"> Sida zedapirebis da kar-fanjrebis ferdoebis damuSaveba da momzadeba SesaRebad </t>
  </si>
  <si>
    <t>100</t>
  </si>
  <si>
    <t xml:space="preserve"> SromiTi danaxarji 1,15*38.1</t>
  </si>
  <si>
    <t>liTonis elementebi</t>
  </si>
  <si>
    <t xml:space="preserve"> sportdarbazSi Savi xis iatakis mowyoba mSrali ficrebiT sisqiT 25 mm </t>
  </si>
  <si>
    <t xml:space="preserve">sakanalizacio qselis gofrirebuli milis Cadeba arxSi _ diametriT 150 mm </t>
  </si>
  <si>
    <t>hermetuli Sesrulebis Weris sanaTuris dayeneba varvarebis naTuriT</t>
  </si>
  <si>
    <t>damiwebis kontaqtiani Cafluli tipis Stefseluri rozetis dayeneba</t>
  </si>
  <si>
    <t>pnevmaturi satkepni</t>
  </si>
  <si>
    <t xml:space="preserve">eqskavatori 0.5 kub.m </t>
  </si>
  <si>
    <t xml:space="preserve">saSualo tipis avtogreideri _ 108 cx.Z </t>
  </si>
  <si>
    <t xml:space="preserve">buldozeri 79 kvt _ 108 cx.Z </t>
  </si>
  <si>
    <t xml:space="preserve"> SromiTi danaxarji 1,15*0,0165</t>
  </si>
  <si>
    <t>43</t>
  </si>
  <si>
    <t>59</t>
  </si>
  <si>
    <t>42</t>
  </si>
  <si>
    <t xml:space="preserve">keramogranitis plinTusebis mowyoba  </t>
  </si>
  <si>
    <t xml:space="preserve">keramogranitis fila </t>
  </si>
  <si>
    <t>53</t>
  </si>
  <si>
    <t>62</t>
  </si>
  <si>
    <t>64</t>
  </si>
  <si>
    <t xml:space="preserve"> duRabis tumbo 3 kubm/sT</t>
  </si>
  <si>
    <t xml:space="preserve"> sxva manqanebi</t>
  </si>
  <si>
    <t xml:space="preserve"> duRabi mosapirkeTebeli</t>
  </si>
  <si>
    <t>mTavari gamanawilebeli faris dayeneba erTpolusa da sampolusa (3*50-1 cali, 3*25-5 cali da 1*16a-1 cali) avtomaturiamomrTvelebiT da momzadeba CarTvisaTvis</t>
  </si>
  <si>
    <t>Weris dekoratiuli sanaTis dayeneba naTuriT</t>
  </si>
  <si>
    <t>gamanawilebeli kolofebis montaJi</t>
  </si>
  <si>
    <t xml:space="preserve"> samZarRviani spilenZis eleqtro sadenebis (3X2.5 kv.mm-2500 grZ.m da 3X4 kv.mm_400 grZ.m) gayvana daxuruli el.gayvani-lobisTvis</t>
  </si>
  <si>
    <t>dekoratiuli sanaTi</t>
  </si>
  <si>
    <t>sampolusa avtomaturi amomrTveli 50 a</t>
  </si>
  <si>
    <t>erTpolusa avtomaturi amomrTveli 25 a</t>
  </si>
  <si>
    <t xml:space="preserve">civi wyalmomaragebis milebis gayvana diametriT 20mm, 25 mm da÷32 mm fitingebis gamoyenebiT </t>
  </si>
  <si>
    <t xml:space="preserve">milsadenebze Camketi armaturis (ventili d-25 mm, ventili d-32 mm da ventili d-3/8 ) dayeneba </t>
  </si>
  <si>
    <t>unitazis (Camrecxi avziT) dayeneba</t>
  </si>
  <si>
    <t xml:space="preserve">unitazi (Camrecxi avziT) </t>
  </si>
  <si>
    <t>plastmasis sakanalizacio milis gayvana _ diametriT 150 mm</t>
  </si>
  <si>
    <t>skolis Senobis el.samontaJo samuSaoebi</t>
  </si>
  <si>
    <t>lokalur-resursuli xarjTaRricxva #2/3</t>
  </si>
  <si>
    <t>lokalur-resursuli xarjTaRricxva #2/4</t>
  </si>
  <si>
    <t>lokalur-resursuli xarjTaRricxva #2/5</t>
  </si>
  <si>
    <t>lokalur-resursuli xarjTaRricxva #2/6</t>
  </si>
  <si>
    <t>Sida ventilaciis sistemis mowyoba</t>
  </si>
  <si>
    <t>sacirkulacio tumbos damontaJeba</t>
  </si>
  <si>
    <t>100 - l moculobis vertikaluri safarToebeli WurWlis damontaJeba</t>
  </si>
  <si>
    <t>sakvamle milis dayeneba qolgiT _ diametriT 150 mm</t>
  </si>
  <si>
    <t xml:space="preserve"> armirebuli plastmasis milis montaJi diametriT - 63 mm fitingebis gamoyenebiT</t>
  </si>
  <si>
    <t xml:space="preserve"> armirebuli plastmasis milis montaJi diametriT - 25-32 mm fitingebis gamoyenebiT</t>
  </si>
  <si>
    <t>milsadenebze Camketi armaturis (ventilebi, zambariani damcavi sarqveli da ukusarqveli) _ diametriT 25-32 mm</t>
  </si>
  <si>
    <t>sakvamle mili qolgiT _ diametriT 150 mm</t>
  </si>
  <si>
    <t>ventili sferuli Dd- 63 mm</t>
  </si>
  <si>
    <t>gadasaxsneli Dd- 63 mm</t>
  </si>
  <si>
    <r>
      <t>sanTura bunebrivNG</t>
    </r>
    <r>
      <rPr>
        <sz val="10"/>
        <rFont val="Academiuri Nuskhuri"/>
        <family val="0"/>
      </rPr>
      <t>NG_200</t>
    </r>
  </si>
  <si>
    <t>safarToebeli WurWeli 100 l; 6 b</t>
  </si>
  <si>
    <r>
      <t>GAgaTbobis sacirkulacio tumbo UP</t>
    </r>
    <r>
      <rPr>
        <sz val="10"/>
        <rFont val="Lazurski"/>
        <family val="0"/>
      </rPr>
      <t>UPS 40-60</t>
    </r>
  </si>
  <si>
    <r>
      <t>GAgaTbobis sacirkulacio tumbo UP</t>
    </r>
    <r>
      <rPr>
        <sz val="10"/>
        <rFont val="Lazurski"/>
        <family val="0"/>
      </rPr>
      <t>UPS 32-60</t>
    </r>
  </si>
  <si>
    <t>wyalsadenze ventilis dayeneba - diametriT 32 mm-</t>
  </si>
  <si>
    <t>ventili  Dd-32 mm</t>
  </si>
  <si>
    <t>kanalizaciis CarTva arsebul qselSi</t>
  </si>
  <si>
    <t xml:space="preserve">SromiTi danaxarji </t>
  </si>
  <si>
    <t xml:space="preserve">eqskavatori 0,65 kub.m </t>
  </si>
  <si>
    <t>sxva manqanebi</t>
  </si>
  <si>
    <t>gruntis gatana 10 km-mde manZilze</t>
  </si>
  <si>
    <t>narCeni gruntis datvirTva avtoTviTmclelze 0.65 kub.m tevadobis eqskovatoriT</t>
  </si>
  <si>
    <t xml:space="preserve">Tboqselis plastmasis armirebuli milis gayvana diametriT 63 mm fitingebis gamoyenebiT </t>
  </si>
  <si>
    <t>fitingi Dd-63 mm</t>
  </si>
  <si>
    <t>gruntis ukuCayra xeliT</t>
  </si>
  <si>
    <t>gruntis transportireba</t>
  </si>
  <si>
    <t>saqvabe</t>
  </si>
  <si>
    <t xml:space="preserve"> santeqnikuri samuSaoebi</t>
  </si>
  <si>
    <t xml:space="preserve"> SromiTi danaxarji 1.15*2.86</t>
  </si>
  <si>
    <t xml:space="preserve"> manqanebi 1,15*0,76</t>
  </si>
  <si>
    <t>gruntis ukuCayra da zedmeti gruntis iatakis qveS mosworeba</t>
  </si>
  <si>
    <t xml:space="preserve">laminirebuli fari yalibis </t>
  </si>
  <si>
    <t xml:space="preserve"> SromiTi danaxarji 1.15*0.381</t>
  </si>
  <si>
    <t xml:space="preserve"> manqanebi 1.15*0.015</t>
  </si>
  <si>
    <t>cementis xsnari 1:2</t>
  </si>
  <si>
    <t>kedlebis wyoba mcire sakedle blokebiT, sisqiT 20 sm</t>
  </si>
  <si>
    <t>laminirebuli fari yalibis</t>
  </si>
  <si>
    <t>ficari wiwvovani jiSis δ=40 mm</t>
  </si>
  <si>
    <t>ficari wiwvovani jiSis sisqiT 25_32 mm</t>
  </si>
  <si>
    <t xml:space="preserve"> saxuravze cementis mWimis mowyoba sisqiT 50 mm</t>
  </si>
  <si>
    <t xml:space="preserve"> SromiTi danaxarji 1,15*(14,3+35*0,07)/100</t>
  </si>
  <si>
    <t xml:space="preserve"> manqanebi 1.15*(0,74+35*0,05)/100</t>
  </si>
  <si>
    <t>msxvilfraqciani duRabi (1,58+35*0,105)/100</t>
  </si>
  <si>
    <t xml:space="preserve"> SromiTi danaxarji 1.15*0.16</t>
  </si>
  <si>
    <t xml:space="preserve"> manqanebi 1.15*0.0032</t>
  </si>
  <si>
    <t>Txevadi gazi</t>
  </si>
  <si>
    <t xml:space="preserve"> SromiTi danaxarji 1.15*0.497</t>
  </si>
  <si>
    <t>bitulini δsisqiT 3 mm</t>
  </si>
  <si>
    <t>ficari wiwvovani jiSis δsisqiT 40÷60 mm</t>
  </si>
  <si>
    <t xml:space="preserve"> moTuTiebuli Tunuqi</t>
  </si>
  <si>
    <t xml:space="preserve"> biTumis grunti</t>
  </si>
  <si>
    <t xml:space="preserve">Txevadi gazi </t>
  </si>
  <si>
    <t>minapaketiT Seminuli metaloplastikis framugis mowyoba</t>
  </si>
  <si>
    <t>ferdoebis SebaTqaSeba</t>
  </si>
  <si>
    <t xml:space="preserve"> SromiTi danaxarji 1.15*2.9</t>
  </si>
  <si>
    <t xml:space="preserve"> iatakze cementis mWimis mowyoba sisqiT 3.5 sm</t>
  </si>
  <si>
    <t>iatakze metlaxis filebis dageba</t>
  </si>
  <si>
    <t xml:space="preserve"> Siga zedapirebis gaumjobesebuli SeRebva </t>
  </si>
  <si>
    <t xml:space="preserve"> SromiTi danaxarji 1.15*(41+51,6)/2/100</t>
  </si>
  <si>
    <t xml:space="preserve"> manqanebi 1.15*[(0,9+1)/2/100</t>
  </si>
  <si>
    <t xml:space="preserve"> saRebavi (63+63)/2/100</t>
  </si>
  <si>
    <t xml:space="preserve"> fiTxi (51+55)/2/100</t>
  </si>
  <si>
    <t xml:space="preserve"> sxvadasxva masalebi (0,7+0,7)/2/100</t>
  </si>
  <si>
    <t xml:space="preserve">gare zedapirebis SebaTqaSeba </t>
  </si>
  <si>
    <t xml:space="preserve"> SromiTi danaxarji 1,15*0,93</t>
  </si>
  <si>
    <t>xsnaris tumbo 3 kub.m/sT 1,15*0,024</t>
  </si>
  <si>
    <t>sxva manqanebi 1,15*0,026</t>
  </si>
  <si>
    <t xml:space="preserve"> gare zedapirebis gaumjobesebuli SeRebva wyalmedegi saRebaviT </t>
  </si>
  <si>
    <t xml:space="preserve"> SromiTi danaxarji 1.15*0.41</t>
  </si>
  <si>
    <t xml:space="preserve"> manqanebi 1.15*0.009</t>
  </si>
  <si>
    <t xml:space="preserve"> saRebavi wyalmedegi</t>
  </si>
  <si>
    <t xml:space="preserve"> fiTxi wyalmedegi</t>
  </si>
  <si>
    <t>RorRi</t>
  </si>
  <si>
    <r>
      <t>spilenZis ZarRviani 2×1.5 mm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 xml:space="preserve">²el.sadeni </t>
    </r>
  </si>
  <si>
    <t>grZ.m.</t>
  </si>
  <si>
    <t xml:space="preserve">jami </t>
  </si>
  <si>
    <t>maT Soris xelfasi</t>
  </si>
  <si>
    <t xml:space="preserve"> cali</t>
  </si>
  <si>
    <t>sul lokalur-resursuli uwyisis jami</t>
  </si>
  <si>
    <t xml:space="preserve"> SromiTi resursi</t>
  </si>
  <si>
    <t>telefonisa da internetis qselebis mowyoba</t>
  </si>
  <si>
    <t>lokalur-resursuli xarjTaRricxva #2/7</t>
  </si>
  <si>
    <t>satelefono kabelis gayvana (ftp-6)</t>
  </si>
  <si>
    <t xml:space="preserve">satelefono kabelis 10*2*0.5 gayvana </t>
  </si>
  <si>
    <t xml:space="preserve"> Semyvan-gamanawilebeli faris dayeneba 8 jgufze erT da sampolusa (3*16a-4 cali, 1*16a-20 cali 1*25a-2 cali) avtomaturi amomrTvelebiT da momzadeba CarTvisaTvis</t>
  </si>
  <si>
    <t xml:space="preserve"> gamwovi ventilatoris dayeneba </t>
  </si>
  <si>
    <t>2*2.5 kv.mm ganikveTis orZarRviani spilenZis eleqtro sadenis gayvana daxuruli el.gayvanilobisTvis</t>
  </si>
  <si>
    <t xml:space="preserve">5X6 kv.mm ganikveTis magistraluri eleqtro xuTZarRva  kabelebis gayvana mza Rarebsa da kabel arxebSi </t>
  </si>
  <si>
    <t xml:space="preserve">kedlis bra </t>
  </si>
  <si>
    <t xml:space="preserve">wyalsadenis plastmasis milis gayvana diametriT 32 mm fitingebis gamoyenebiT  </t>
  </si>
  <si>
    <t xml:space="preserve">Tboqselis garcmis gofrirebuli milis Cadeba arxSi _ diametriT 150 mm </t>
  </si>
  <si>
    <t>samgzavro liftebis montaJi</t>
  </si>
  <si>
    <t>##</t>
  </si>
  <si>
    <t>ganz. erT.</t>
  </si>
  <si>
    <t>mTliani Rirebuleba</t>
  </si>
  <si>
    <t>I&amp;cfvjynf;j cfveifjt,b</t>
  </si>
  <si>
    <t>kompl.</t>
  </si>
  <si>
    <t>sul pirdapiri xarjebi</t>
  </si>
  <si>
    <t>zednadebi xarjebi 68% xelfasidan</t>
  </si>
  <si>
    <t>jami</t>
  </si>
  <si>
    <t>sul samontaJo samuSaoebi</t>
  </si>
  <si>
    <t>gegmiuri dagroveba 8%</t>
  </si>
  <si>
    <t>lokaluri xarjTaRricxva #2/8</t>
  </si>
  <si>
    <t xml:space="preserve">samgzavro lifti siCqariT 0.6 m/wm., 4 gaCerebaze, tvirT-amweobiT 320 kg. </t>
  </si>
  <si>
    <t>saxanZro signalizaciis 2*2*0.8 kabelebis gayvana</t>
  </si>
  <si>
    <t xml:space="preserve"> sirenis xazis 2*1.5 kabelis gayvana</t>
  </si>
  <si>
    <t xml:space="preserve"> maniSnebeli abrebis eleqtrokve-bisaTvis 2*1.5 kv.mm ganikveTis  spilenZis ZarRiani sadenis gayvana</t>
  </si>
  <si>
    <t xml:space="preserve">satelefono rozetis dayeneba </t>
  </si>
  <si>
    <t xml:space="preserve"> SromiTi danaxarji 1.15*0.253</t>
  </si>
  <si>
    <t>sateletono rozeti kolofiT</t>
  </si>
  <si>
    <r>
      <t>satelefono kabeli 10×2×0,5 mm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0"/>
      </rPr>
      <t xml:space="preserve">² </t>
    </r>
  </si>
  <si>
    <t>satelefono kabeli gtp-6</t>
  </si>
  <si>
    <t>manqanebi</t>
  </si>
  <si>
    <t>sakomunikacio karada 600*600 minis kariT</t>
  </si>
  <si>
    <t xml:space="preserve">sakomunikacio karadis (600*600 minis kariT) da Zabvis gammarTvelis montaJi </t>
  </si>
  <si>
    <t>Zabvis gammarTveli 10 kv.</t>
  </si>
  <si>
    <t>24 portiani gamanawilebeli CarCos dayeneba adaptoriT</t>
  </si>
  <si>
    <t>24 portiani gamanawilebeli CarCos  adaptoriT</t>
  </si>
  <si>
    <t xml:space="preserve">kompiuteruli rozetis dayeneba </t>
  </si>
  <si>
    <t xml:space="preserve"> SromiTi danaxarji </t>
  </si>
  <si>
    <t>kompiuteruli rozeti kolofiT</t>
  </si>
  <si>
    <t>internet qselis kabelis gayvana (ftp-6)</t>
  </si>
  <si>
    <t>internet qselis kabeli gtp-6</t>
  </si>
  <si>
    <r>
      <t xml:space="preserve"> s</t>
    </r>
    <r>
      <rPr>
        <sz val="11"/>
        <rFont val="LitNusx"/>
        <family val="0"/>
      </rPr>
      <t xml:space="preserve">amgzavro liftis (zeda sa-manqane ganyofilebiT, avtoma-turi karebiT, siCqariT 0.6 m/wm., 4 gaCerebaze, Saxtis simaRliT 18 metramde) montaJi </t>
    </r>
  </si>
  <si>
    <t>jami mowyobilobebi</t>
  </si>
  <si>
    <t>mTliani saxarjTaRricxvo Rirebuleba</t>
  </si>
  <si>
    <t>saZirkvelis Tavis horizontaluri hidroizolacia cementis xsnariT SemadgenlobiT 1:2</t>
  </si>
  <si>
    <t>gamwovi ventilatori d-200 mm</t>
  </si>
  <si>
    <t>cxauri d-200 mm</t>
  </si>
  <si>
    <t xml:space="preserve"> SromiTi danaxarji 1,15*5,07</t>
  </si>
  <si>
    <t xml:space="preserve"> manqanebi 1,15*0,34</t>
  </si>
  <si>
    <t>ficari wiwvovani jiSis</t>
  </si>
  <si>
    <t>fari yalibis δ=25 mm</t>
  </si>
  <si>
    <r>
      <t xml:space="preserve">saqvabis sakvamle milisaTvis monoliTuri betonis saZirkvlis mowyoba 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 xml:space="preserve">-12.5 betoniT </t>
    </r>
  </si>
  <si>
    <r>
      <t xml:space="preserve">betoni </t>
    </r>
    <r>
      <rPr>
        <sz val="10"/>
        <rFont val="_Academiuri"/>
        <family val="2"/>
      </rPr>
      <t>B</t>
    </r>
    <r>
      <rPr>
        <sz val="10"/>
        <rFont val="LitNusx"/>
        <family val="0"/>
      </rPr>
      <t>-12,5</t>
    </r>
  </si>
  <si>
    <t xml:space="preserve">d-200 mm gamwovi ventilatoris da cxauris dayeneba </t>
  </si>
  <si>
    <r>
      <t xml:space="preserve">monoliTuri betonis lenturi saZirkvlis mowyoba klasiT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-12,5</t>
    </r>
  </si>
  <si>
    <r>
      <t xml:space="preserve">betoni </t>
    </r>
    <r>
      <rPr>
        <sz val="10"/>
        <rFont val="Academiuri Nuskhuri"/>
        <family val="0"/>
      </rPr>
      <t>B-</t>
    </r>
    <r>
      <rPr>
        <sz val="10"/>
        <rFont val="LitNusx"/>
        <family val="0"/>
      </rPr>
      <t>12,5</t>
    </r>
  </si>
  <si>
    <r>
      <t xml:space="preserve">monoliTuri rk.betonis gulanebis mowyoba  </t>
    </r>
    <r>
      <rPr>
        <b/>
        <sz val="10"/>
        <rFont val="Academiuri Nuskhuri"/>
        <family val="0"/>
      </rPr>
      <t>B-</t>
    </r>
    <r>
      <rPr>
        <b/>
        <sz val="10"/>
        <rFont val="LitNusx"/>
        <family val="0"/>
      </rPr>
      <t>20 klasis betoniT</t>
    </r>
  </si>
  <si>
    <r>
      <t xml:space="preserve">betoni </t>
    </r>
    <r>
      <rPr>
        <sz val="10"/>
        <rFont val="Academiuri Nuskhuri"/>
        <family val="0"/>
      </rPr>
      <t>B-</t>
    </r>
    <r>
      <rPr>
        <sz val="10"/>
        <rFont val="LitNusx"/>
        <family val="0"/>
      </rPr>
      <t>20 kl.</t>
    </r>
  </si>
  <si>
    <r>
      <t xml:space="preserve">monoliTuri rk.betonis sartyelis mowyoba 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klasis betoniT </t>
    </r>
  </si>
  <si>
    <r>
      <t xml:space="preserve">monoliTuri rk.betonis gadaxurvis filis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klasis betoniT</t>
    </r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</si>
  <si>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-20</t>
    </r>
  </si>
  <si>
    <r>
      <t xml:space="preserve">betonis iatakis momzadebis mowyoba danadgarebis adgilebis CaRrmavebis gaTvaliswinebiT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-12,5 klasis betoniT</t>
    </r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</si>
  <si>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-12,5 kl.</t>
    </r>
  </si>
  <si>
    <t>lokalur-resursuli xarjTaRricxva #1</t>
  </si>
  <si>
    <t>kub.m
sivrc.
moc.</t>
  </si>
  <si>
    <t>31</t>
  </si>
  <si>
    <t>33</t>
  </si>
  <si>
    <t xml:space="preserve"> SromiTi danaxarji 1,15*0,68</t>
  </si>
  <si>
    <t xml:space="preserve"> saRebavi zeTovani</t>
  </si>
  <si>
    <t>34</t>
  </si>
  <si>
    <t>35</t>
  </si>
  <si>
    <t>36</t>
  </si>
  <si>
    <t>37</t>
  </si>
  <si>
    <t>38</t>
  </si>
  <si>
    <t>39</t>
  </si>
  <si>
    <t xml:space="preserve"> SromiTi danaxarji 1,15*3,16</t>
  </si>
  <si>
    <t>41</t>
  </si>
  <si>
    <t>45</t>
  </si>
  <si>
    <t>Casatanebeli detalebi</t>
  </si>
  <si>
    <t>52</t>
  </si>
  <si>
    <t xml:space="preserve"> SromiTi danaxarji 1,15*18,3</t>
  </si>
  <si>
    <t xml:space="preserve"> manqanebi 1,15*4,31</t>
  </si>
  <si>
    <t xml:space="preserve">liTonis ferma </t>
  </si>
  <si>
    <t>samontaJo elementi</t>
  </si>
  <si>
    <t xml:space="preserve"> manqanebi 1,15*2,26</t>
  </si>
  <si>
    <t xml:space="preserve"> SromiTi danaxarji 1,15*0,243</t>
  </si>
  <si>
    <t xml:space="preserve"> manqanebi 1,15*0,0467</t>
  </si>
  <si>
    <t xml:space="preserve">sWvali TviTmWreli </t>
  </si>
  <si>
    <t>saxuravze galvanizirebuli feradi Tunuqis wyalmimRebi Zabris dayeneba</t>
  </si>
  <si>
    <t>SromiTi danaxarji 1,15*2,7</t>
  </si>
  <si>
    <t xml:space="preserve"> manqanebi 1,15*0,45</t>
  </si>
  <si>
    <t>wyalmimRebi Zabri galvanizirebuli</t>
  </si>
  <si>
    <t>71</t>
  </si>
  <si>
    <t>galvanizirebuli feradi Tunuqis wyalsawreti milebis dayeneba</t>
  </si>
  <si>
    <t>wyalsawreti mili galvanizirebuli</t>
  </si>
  <si>
    <t xml:space="preserve"> sarini</t>
  </si>
  <si>
    <t xml:space="preserve"> samagri detalebi</t>
  </si>
  <si>
    <t xml:space="preserve"> SromiTi danaxarji 1,15*53,8</t>
  </si>
  <si>
    <t>amwe 16 t 1,15*0,35</t>
  </si>
  <si>
    <t xml:space="preserve"> manqanebi 1,15*18,4</t>
  </si>
  <si>
    <t>liTonis elementebis SeRebva</t>
  </si>
  <si>
    <t>saCexis gadaxurva tripleqsiT</t>
  </si>
  <si>
    <t xml:space="preserve"> gare liTonis kibisTvis gruntis damuSaveba xeliT liTonis kibis mosawyobad</t>
  </si>
  <si>
    <t>76</t>
  </si>
  <si>
    <t>manqanebi 1,15*0,34</t>
  </si>
  <si>
    <t xml:space="preserve">fari yalibis </t>
  </si>
  <si>
    <t>77</t>
  </si>
  <si>
    <t>sxva manqanebi 1,15*13,9</t>
  </si>
  <si>
    <t>liTonis konstruqciebi</t>
  </si>
  <si>
    <t>t</t>
  </si>
  <si>
    <t>78</t>
  </si>
  <si>
    <t>duRabi</t>
  </si>
  <si>
    <t>83</t>
  </si>
  <si>
    <t>84</t>
  </si>
  <si>
    <t xml:space="preserve"> monoliTuri mozaikis plinTusis mowyoba</t>
  </si>
  <si>
    <t xml:space="preserve"> SromiTi danaxarji 1,15*(210+2*18,3)/100*0,08</t>
  </si>
  <si>
    <t xml:space="preserve"> manqanebi 1,15*(2,32+2*0,2)/100*0,08</t>
  </si>
  <si>
    <t xml:space="preserve"> marmarilos nafxvenis dekoratiuli duRabi (2,04+2*0,51)/100*0,08</t>
  </si>
  <si>
    <t>qviSa kvarcis - 0,08</t>
  </si>
  <si>
    <t>cementi - 0,08</t>
  </si>
  <si>
    <t xml:space="preserve"> sxvadasxva masalebi - 0,08</t>
  </si>
  <si>
    <t>materialuri resursebi</t>
  </si>
  <si>
    <t xml:space="preserve"> manqanebi 1,15*[(1+0,02+1,2+0,02)]/2/100</t>
  </si>
  <si>
    <t xml:space="preserve"> sxvadasxva masalebi (1.6+0,42+1.8+0,42)/2/100</t>
  </si>
  <si>
    <t xml:space="preserve"> SromiTi danaxarji 1,15*4,16*0,1</t>
  </si>
  <si>
    <t xml:space="preserve"> manqanebi 1,15*0,2*0,1</t>
  </si>
  <si>
    <t xml:space="preserve"> sxvadasxva masalebi 0,001*0,1</t>
  </si>
  <si>
    <t xml:space="preserve"> manqanebi 1,15*0,009</t>
  </si>
  <si>
    <t>samRebro bade</t>
  </si>
  <si>
    <t xml:space="preserve"> gare inventaruli xaraCos dayeneba da daSla </t>
  </si>
  <si>
    <t xml:space="preserve"> manqanebi 1,15*0,23</t>
  </si>
  <si>
    <t>gruntis da nangrevis gatana 10 km manZilze</t>
  </si>
  <si>
    <t>gaTbobis sistemis demontaJi da vargisi nawilis dasawyobeba</t>
  </si>
  <si>
    <t>sistema</t>
  </si>
  <si>
    <t>ficari wiwvovani jiSis, III xarisxis, δ=40 mm</t>
  </si>
  <si>
    <t>arsebuli kar-fanjrebis demontaJi da vargisi nawilis dasawyobeba</t>
  </si>
  <si>
    <t>sportdarbazis fanjrebidan  liTonis gisosebis demontaJi da dasawyobeba</t>
  </si>
  <si>
    <t>wyalkanalis sistemis demontaJi da vargisi masalebis dasawyobeba</t>
  </si>
  <si>
    <t>iatakebidan arsebuli xis iatakisa da lagebis ayra da vargisi xis masalis dasawyobeba</t>
  </si>
  <si>
    <t>saxuravebidan sanivnive sistemis da Tunuqis burulis demontaJi molartyviT da vargisi masalebis dasawyobebiT</t>
  </si>
  <si>
    <t>SromiTi danaxarji 1,15*0,0132</t>
  </si>
  <si>
    <t>eqskavatori 0,65 kub.m 1,15*0,0295</t>
  </si>
  <si>
    <t>manqanebi sxvadasxva 1,15*0,0021</t>
  </si>
  <si>
    <t>daSlili nangrevebis datvirTva avtoTviTmclelze eqskovatoriT CamCis tevadobiT 0.65 kub.m</t>
  </si>
  <si>
    <t>sademontaJo baqnebis daSla da gruntisa da nangrevebis datvirTva avtoTviTmclelze eqskovatoriT CamCis tevadobiT 0.65 kub.m</t>
  </si>
  <si>
    <t xml:space="preserve"> armaturis nakeToba</t>
  </si>
  <si>
    <t xml:space="preserve">mimdebare teritoriaze rezervSi arsebuli gruntis Semotana da ukuCayra qvabulis ferdoebSi da datkepna </t>
  </si>
  <si>
    <t xml:space="preserve"> SromiTi danaxarji 1,15*13.2</t>
  </si>
  <si>
    <t xml:space="preserve"> manqanebi 1,15*1.43</t>
  </si>
  <si>
    <t xml:space="preserve">sportdarbazis rk.betonis gada-xurvis konstruqciebis demontaJi da vargisi masalebis dasawyobeba, kedlebisa da tixrebis daSla </t>
  </si>
  <si>
    <t>Casatanebeli detalebis montaJi</t>
  </si>
  <si>
    <t>kvadratuli milebisgan Sedgenili liTonis fermebis montaJi</t>
  </si>
  <si>
    <t>saxuravis liTonis grZivebis montaJi #12 Sveleridan</t>
  </si>
  <si>
    <t>Sveleri #12</t>
  </si>
  <si>
    <t>kuTxovana 60*60*6</t>
  </si>
  <si>
    <t xml:space="preserve">liTonis kvadratuli milebi </t>
  </si>
  <si>
    <t xml:space="preserve"> liTonis fermebs Soris kvadratuli milebis calkeuli Reroebisagan Sedgenili horizontaluri da vertikaluri kavSirebis montaJi</t>
  </si>
  <si>
    <t xml:space="preserve"> manqanebi 1,15*1.05</t>
  </si>
  <si>
    <t>saxuravis fenilis mowyoba saxuravis poliureTanis SigTavsis sendviC-paneliT sisqiT 100 mm</t>
  </si>
  <si>
    <t>saxuravis sendviC-paneli sisqiT 100 mm</t>
  </si>
  <si>
    <t xml:space="preserve"> saRebavi antikoroziuli</t>
  </si>
  <si>
    <t xml:space="preserve"> liTonis fermebis, porizontaluri da vertikaluri kavSirebis da grZivebis gawmenda da SeRebva antikoroziuli saRebaviT 2-jer</t>
  </si>
  <si>
    <t>avto amwe pnevmoTvian svlaze</t>
  </si>
  <si>
    <t xml:space="preserve"> saZirkvlis(rand) koWebis Tavis horizontaluri hidroizolaciis mowyoba qviSa-cementis xsnariT </t>
  </si>
  <si>
    <t xml:space="preserve"> qviSa-cementis xsnari 1:2</t>
  </si>
  <si>
    <t>armirebuli kedlebis wyoba mcire sakedle blokebiT sisqiT 40 sm.</t>
  </si>
  <si>
    <t xml:space="preserve">armirebuli tixrebis mowyoba mcire satixre blokebiT, sisqiT 10 sm </t>
  </si>
  <si>
    <t>metaloplastmasis karebis mowyoba</t>
  </si>
  <si>
    <t>sportdarbazis fanjrebze liTonis gisosebis mowyoba</t>
  </si>
  <si>
    <t>galvanizirebuli liTonis furceli sisqiT aranakleb 0.5 mm-sa</t>
  </si>
  <si>
    <t>saxuravis sendviC-panelis fenilze galvanizirebuli sendviC-panelis faqturis grZivi fasonuri nawilebis (SenaRarebi da kexi) damzadeba da dayeneba Tunuqis sisqiT aranakleb 0.5 mm-sa</t>
  </si>
  <si>
    <t xml:space="preserve"> SromiTi danaxarji 1.15*3.52</t>
  </si>
  <si>
    <t xml:space="preserve"> manqanebi 1.15*1.06</t>
  </si>
  <si>
    <t xml:space="preserve"> SromiTi danaxarji 1.15*12.3</t>
  </si>
  <si>
    <t xml:space="preserve"> manqanebi 1.15*1.4</t>
  </si>
  <si>
    <t>iatakis da gare pandussa da kibeebs qveS safuZvelis mowyoba balastiT, fena-fena datkepniT</t>
  </si>
  <si>
    <t>gruntis Semkvriveba RorRiT saSualo sisqiT 50 mm.</t>
  </si>
  <si>
    <t>keramogranitis fila (xaoiani)</t>
  </si>
  <si>
    <t>metlaxis fila xaoiani</t>
  </si>
  <si>
    <t xml:space="preserve"> iatakze xaoiani zedapiris keramogranitis  filis dageba</t>
  </si>
  <si>
    <t>saaqto darbazis Sekiduli Weris mowyoba TabaSir-muyaos filebiT liTonis karkasze</t>
  </si>
  <si>
    <t>sportdarbazis Sekiduli Weris mowyoba Sewebebuli faneriT liTonis karkasze</t>
  </si>
  <si>
    <t>rkinabetonis koWebSi saCexisaTvis Casatanebeli detalebis montaJi</t>
  </si>
  <si>
    <r>
      <t xml:space="preserve">betoni </t>
    </r>
    <r>
      <rPr>
        <sz val="10"/>
        <rFont val="_Academiuri"/>
        <family val="2"/>
      </rPr>
      <t>B</t>
    </r>
    <r>
      <rPr>
        <sz val="10"/>
        <rFont val="LitNusx"/>
        <family val="0"/>
      </rPr>
      <t>-20</t>
    </r>
  </si>
  <si>
    <t>Sida kibeebis safexurebis da baqnebis mopirkeTeba monoliTuri mozaikiT</t>
  </si>
  <si>
    <t>gare kibeebis safexurebis da baqnebis, pandusisa da sayvaviles gverdebis mopirkeTeba monoliTuri mozaikiT</t>
  </si>
  <si>
    <t>iatakze maRali cveTamedegobis laminirebuli parketis sisqiT aranakleb 12 mm-sa dageba Rrubelis safuZvelze, plinTusebiT</t>
  </si>
  <si>
    <t xml:space="preserve"> saRebavi antikoroziuli  gamxsneliT</t>
  </si>
  <si>
    <t>26</t>
  </si>
  <si>
    <t>32</t>
  </si>
  <si>
    <t xml:space="preserve">fanjrisqveSa plastmasis rafebis dayeneba  (spotrdarbazis, sveli wertilebisa da kibis ujredis fanjrebis garda)  </t>
  </si>
  <si>
    <t>61</t>
  </si>
  <si>
    <t>63</t>
  </si>
  <si>
    <t>manqanebi 1,15*0,0071</t>
  </si>
  <si>
    <t>bordiuri kveTiT 200х100 mm</t>
  </si>
  <si>
    <t xml:space="preserve">betonis dekoratiuli filebis, sisqiT 6 sm, dageba cement-qviSis mSral narevze     </t>
  </si>
  <si>
    <t xml:space="preserve"> SromiTi danaxarji 1,15*0,92</t>
  </si>
  <si>
    <t xml:space="preserve"> manqanebi 1,15*0,0153</t>
  </si>
  <si>
    <t>betonis dekoratiul fila sisqiT 6 sm</t>
  </si>
  <si>
    <t>cement-qviSis narevi</t>
  </si>
  <si>
    <t>m.S. a) cementi m-400</t>
  </si>
  <si>
    <t>. b) qviSa msxvilmarcvlovani</t>
  </si>
  <si>
    <t>teritoriaze dekoratiuli filebis qveS balastis fenis mowyoba saSualo sisqiT 7.0 sm</t>
  </si>
  <si>
    <t>betonis bordiurebis dayeneba betonis safuZvelze _ kveTiT 200х100 mm miwis samuSaoebis CaTvliT</t>
  </si>
  <si>
    <t>lokalur-resursuli xarjTaRricxva #6</t>
  </si>
  <si>
    <t>lokalur-resursuli xarjTaRricxva #4/1</t>
  </si>
  <si>
    <t>lokalur-resursuli xarjTaRricxva #4/2</t>
  </si>
  <si>
    <t xml:space="preserve"> skolis arsebuli korpusis ukana mxares marjvena da marcxena fligelebs Soris fasadis nawilis mopirkeTebis samuSaoebi</t>
  </si>
  <si>
    <r>
      <t xml:space="preserve">betoni </t>
    </r>
    <r>
      <rPr>
        <sz val="10"/>
        <rFont val="_Academiuri"/>
        <family val="2"/>
      </rPr>
      <t>B</t>
    </r>
    <r>
      <rPr>
        <sz val="10"/>
        <rFont val="LitNusx"/>
        <family val="0"/>
      </rPr>
      <t>-15</t>
    </r>
  </si>
  <si>
    <t>betonis Sida zedapirebis SebaTqaSeba</t>
  </si>
  <si>
    <t>gare betonis kedlebis maRalxarisxovani SebaTqaSeba</t>
  </si>
  <si>
    <t xml:space="preserve"> fiTxi fasadis antikoroziuli</t>
  </si>
  <si>
    <t>gare zedapirebis (kedlebi, ferdoebi, karnizebi) SeRebva orfaziani dispersiuli sistemis antikoroziuli saRebaviT</t>
  </si>
  <si>
    <t>orfaziani wyaldispersiuli dispersiuli sistemis antikoroziuli saRebavi</t>
  </si>
  <si>
    <t>maT Soris: liTonis konstruqciebi</t>
  </si>
  <si>
    <t>zednadebi xarjebi danarCen samuSaoebze</t>
  </si>
  <si>
    <t>sul zednadebi xarjebi</t>
  </si>
  <si>
    <t>j a m i (pirdapis xarjebs + zednadebi xarjebis jami)</t>
  </si>
  <si>
    <t xml:space="preserve"> SromiTi danaxarji 1,15*4,16*0,45</t>
  </si>
  <si>
    <t xml:space="preserve"> manqanebi 1,15*0,2*0,45</t>
  </si>
  <si>
    <t xml:space="preserve"> sxvadasxva masalebi 0,001*0,45</t>
  </si>
  <si>
    <t xml:space="preserve"> SromiTi danaxarji 1,15*32,9*1.1</t>
  </si>
  <si>
    <t xml:space="preserve"> liTonis gisosebisa da gare liTonis kibis SeRebva antikoroziuli saRebaviT 2 jer.</t>
  </si>
  <si>
    <t>zednadebi xarjebi liTonis konstuqciebze</t>
  </si>
  <si>
    <t>lokalur-resursuli xarjTaRricxva #3</t>
  </si>
  <si>
    <t xml:space="preserve"> gruntis damuSaveba xeliT</t>
  </si>
  <si>
    <r>
      <t xml:space="preserve">pandusis, sayvaviles da gare kibebis  mowyoba klasiT 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>-15 saSualo sisqiT 12 sm.</t>
    </r>
  </si>
  <si>
    <t>ormxrivfurcliani liTonis karebis mowyoba</t>
  </si>
  <si>
    <t xml:space="preserve"> liTonis karebis SeRebva antikoroziuli saRebaviT 2 jer.</t>
  </si>
  <si>
    <t xml:space="preserve">gare zedapirebis damuSaveba wyalmedegi fiTxiT da momzadeba SesaRebad </t>
  </si>
  <si>
    <t xml:space="preserve"> kedlebis wyoba mcire sakedle blokebiT sisqiT 40 sm.</t>
  </si>
  <si>
    <r>
      <t xml:space="preserve">monoliTuri rk.betonis wertilovani saZirkvlis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klasis betoniT </t>
    </r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</si>
  <si>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-20 kl.</t>
    </r>
  </si>
  <si>
    <r>
      <t xml:space="preserve">monoliTuri rk.betonis saZirkvlis(rand)  koWebis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klasis betoniT</t>
    </r>
  </si>
  <si>
    <r>
      <t xml:space="preserve">armirebuli betonis iatakis momzadebis, pandusis, sayvaviles da gare kibis mowyoba klasiT 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>-15 saSualo sisqiT 12 sm.</t>
    </r>
  </si>
  <si>
    <r>
      <t>monoliTuri rk.betonis svetebis mowyoba B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 xml:space="preserve">-20 klasis betoniT </t>
    </r>
  </si>
  <si>
    <r>
      <t>betoni B</t>
    </r>
    <r>
      <rPr>
        <sz val="10"/>
        <rFont val="_Academiuri"/>
        <family val="2"/>
      </rPr>
      <t>B</t>
    </r>
    <r>
      <rPr>
        <sz val="10"/>
        <rFont val="LitNusx"/>
        <family val="0"/>
      </rPr>
      <t>-20 kl.</t>
    </r>
  </si>
  <si>
    <r>
      <t xml:space="preserve">monoliTuri rk.betonis diafragmebis (liftis Saxtis kedlebis)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klasiT betoniT </t>
    </r>
  </si>
  <si>
    <r>
      <t xml:space="preserve">monoliTuri rk.betonis koWebis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klasis betoniT</t>
    </r>
  </si>
  <si>
    <r>
      <t xml:space="preserve">monoliTuri rk.betonis gadaxurvis filebis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klasis betoniT</t>
    </r>
  </si>
  <si>
    <r>
      <t xml:space="preserve">monoliTuri rk.betonis Sida kibis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klasis betoniT</t>
    </r>
  </si>
  <si>
    <r>
      <t xml:space="preserve">parapetis monoliTuri rk.betonis svetebisa da sartylebis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-20 klasiT betoniT </t>
    </r>
  </si>
  <si>
    <r>
      <t xml:space="preserve">monoliTuri rk.betonis zRudarebis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 klasis betoniT</t>
    </r>
    <r>
      <rPr>
        <b/>
        <sz val="10"/>
        <rFont val="Academiuri Nuskhuri"/>
        <family val="0"/>
      </rPr>
      <t xml:space="preserve"> </t>
    </r>
  </si>
  <si>
    <t>liTonis calmxrivi furcliani Jaluzebiani karis mowyoba</t>
  </si>
  <si>
    <t>q.baTumSi demetre Tavdadebulis quCa #47-Si ssip ,,baTumis #1 sajaro skola"-s teritoriaze sportuli darbazis demontaJi da 4 sarTuliani saswavlo korpusis mSenebloba</t>
  </si>
  <si>
    <t xml:space="preserve">skolis ukana ezos teritoriis siRrmeSi arsebuli amortizirebuli Senobis kedlebis daSla </t>
  </si>
  <si>
    <t>jami samSeneblo samuSaoebi</t>
  </si>
  <si>
    <t>sportuli inventari:</t>
  </si>
  <si>
    <t>frenburTis bade boZebiT (transformirebadi)</t>
  </si>
  <si>
    <t>Sveduri (tanvarjiSis) kedeli bagiriT</t>
  </si>
  <si>
    <t>sul sportuli inventari</t>
  </si>
  <si>
    <t>86</t>
  </si>
  <si>
    <t xml:space="preserve">stacionaluri kalaTburTis fari samagri elementebiTa da aqsesuarebiT </t>
  </si>
  <si>
    <t>xelburTis karebi aqseuarebiT</t>
  </si>
  <si>
    <t>ukana ezos siRrmeSi amortizirebili Senobis, arsebuli sportuli darbazis da misi mimdebare baqnebis daSla</t>
  </si>
  <si>
    <t>vargisi eleqtrosanaTebis  CamrTvelebis da rozetebis demontaJi da dasawyobeba</t>
  </si>
  <si>
    <t xml:space="preserve"> SromiTi danaxarji 0.8*0.61</t>
  </si>
  <si>
    <t xml:space="preserve"> manqanebi 0.8*0.317</t>
  </si>
  <si>
    <t xml:space="preserve"> saproeqto niSnulamde gruntis saboloo damuSaveba xeliT, misi Txrilis ferdoebze miyriT</t>
  </si>
  <si>
    <t xml:space="preserve">TxrilSi gruntis damuSaveba 0.5 CamCis tevadobis eqskovatoriT da gverdze dayriT an gadaadgilebiT mimdebare teritoriaze </t>
  </si>
  <si>
    <t>gare liTonis saevakuacio kibis montaJi, saxuravze asasvleli saxanZro kibis da liTonis moajiris CaTvliT</t>
  </si>
  <si>
    <t>wvrili blokebiT naSenebi tixrebisa da kedlebis Caankereba mzid konstruqciebSi liTonis elementebiT</t>
  </si>
  <si>
    <t>minapaketiT Seminuli metaloplastmasis fanjrebis mowyoba</t>
  </si>
  <si>
    <t xml:space="preserve"> fasadze fanjrebis garSemo martivi tipis karnizis mowyoba cementis duRabiT simaRliT 10 sm sisqiT 3.0 sm</t>
  </si>
  <si>
    <t xml:space="preserve"> karnizis mowyoba cementis duRabiT simaRliT 45 sm sisqiT 3.0 sm.</t>
  </si>
  <si>
    <t xml:space="preserve"> duRabi mosapirkeTebeli 0.45*0.03</t>
  </si>
  <si>
    <t xml:space="preserve"> duRabi mosapirkeTebeli 0.1*0.03</t>
  </si>
  <si>
    <t>fasadis zedapirebis (kedlebis, karfanjrebis ferdoebi da lesviTi da penoplastis karnizebi) dekoratiuli damuSaveba antikoroziuli fiTxiT</t>
  </si>
  <si>
    <t>materialuri resursi</t>
  </si>
  <si>
    <t xml:space="preserve">sportdarbazis xis iatakis mowyoba Sipebiani ficrebiT, sisqiT 37 mm </t>
  </si>
  <si>
    <t xml:space="preserve"> Sida zedapirebis da kar-fanjrebis ferdoebis SeRebva wyalemulsiuri saRebaviT</t>
  </si>
  <si>
    <t xml:space="preserve"> bris dayeneba naTuriT</t>
  </si>
  <si>
    <r>
      <t xml:space="preserve">pandusis, sayvaviles da gare kibeebisaTvis  saZirkvlisa da kedlebis mowyoba klasiT 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>-15 saSualo sisqiT 12 sm.</t>
    </r>
  </si>
  <si>
    <t xml:space="preserve"> gare pandussa da kibeebis qveS safuZvelis mowyoba balastiT, fena-fena datkepniT</t>
  </si>
  <si>
    <t>zeZirkvlisa da dazinebuli gare zedapirebis maRalxarisxovani SebaTqaSeba</t>
  </si>
  <si>
    <t>gare damuSavebuli zedapirebis SeRebva  wyalemulsiuri  saRebaviT (arsebulis analogiuri feris)</t>
  </si>
  <si>
    <r>
      <t xml:space="preserve"> </t>
    </r>
    <r>
      <rPr>
        <sz val="10"/>
        <rFont val="LitNusx"/>
        <family val="0"/>
      </rPr>
      <t xml:space="preserve">SromiTi danaxarji </t>
    </r>
    <r>
      <rPr>
        <sz val="9"/>
        <rFont val="LitNusx"/>
        <family val="0"/>
      </rPr>
      <t>1,15*[(65,8+85,6)/2/100*70%+(11,5+15,8)/2/100]</t>
    </r>
  </si>
  <si>
    <t>mTavari Sesasvlelis Seminuli saCexis liTonis konstruqciis mowyoba litonis oTxkuTxa milebisagan</t>
  </si>
  <si>
    <t>liTinis oTxkuTxa mili</t>
  </si>
  <si>
    <r>
      <t xml:space="preserve"> gare liTonis kibisaTvis monoliTuri betonis saZirkvelis mowyoba 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>_20 klasis betoniT</t>
    </r>
  </si>
  <si>
    <t xml:space="preserve"> SromiTi danaxarji 1,15*2,86</t>
  </si>
  <si>
    <t xml:space="preserve"> manqanebi 1,15*0,0076</t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</si>
  <si>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-15 kl.</t>
    </r>
  </si>
  <si>
    <t xml:space="preserve"> gruntis ukuCayra xeliT zedmeti gruntis adgilze mosworebiT</t>
  </si>
  <si>
    <t>Robis axali kedlebis da nawilobriv arsebuli dazianebuli nawilebis wyoba mcire sakedle blokebiT sisqiT 20 sm.</t>
  </si>
  <si>
    <r>
      <t xml:space="preserve">arsebuli betonis Robis nawilze da axal betonis Robeze monoliTuri rk.betonis sartyelis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 klasis betoniT</t>
    </r>
    <r>
      <rPr>
        <b/>
        <sz val="10"/>
        <rFont val="Academiuri Nuskhuri"/>
        <family val="0"/>
      </rPr>
      <t xml:space="preserve"> </t>
    </r>
  </si>
  <si>
    <t xml:space="preserve">betonis Robis kedlebis damuSaveba wyalmedegi fiTxiT da momzadeba SesaRebad </t>
  </si>
  <si>
    <t xml:space="preserve"> arsebuli liTonis karebis gawmenda da SeRebva antikoroziuli saRebaviT 2 jer.</t>
  </si>
  <si>
    <t xml:space="preserve">betonis Robis kedlebis SeRebva  wyalemulsiuri saRebaviT </t>
  </si>
  <si>
    <t xml:space="preserve"> SromiTi danaxarji 1.15*0.186</t>
  </si>
  <si>
    <t xml:space="preserve"> manqanebi 1.15*0.0016</t>
  </si>
  <si>
    <t>arsebuli Robis zedapirebidan dazianebuli baTqaSis Camoyra</t>
  </si>
  <si>
    <t xml:space="preserve"> duRabis tumbo 3 kubm/sT 1,15*0,024</t>
  </si>
  <si>
    <t>betonis Robe,Eteritoriis keTilmowyoba da gamwvaneba</t>
  </si>
  <si>
    <t>arsebuli da axlad aSenebuli betonis Robis kedlebis SebaTqaSeba qviSa-cementis xsnariT (maT Soris arsebuli betonis Robis dasaxuli nawilis)</t>
  </si>
  <si>
    <t>arsebuli dazianebuli betonis Robis kedlebis dasaxva msxvilmarclovani qviSa-cementis sxnariT saSualo sisqiT 5,0 sm.</t>
  </si>
  <si>
    <t xml:space="preserve"> msxvilmarclovani qviSa-cementis xsnari</t>
  </si>
  <si>
    <r>
      <t xml:space="preserve">RobisaTvis monoliTuri betonis  saZirkvlisa da zeZirkvelis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 xml:space="preserve">-15 klasis betoniT </t>
    </r>
  </si>
  <si>
    <r>
      <t xml:space="preserve">RobisaTvis monoliTuri rk.betonis svetebis mowyoba </t>
    </r>
    <r>
      <rPr>
        <b/>
        <sz val="10"/>
        <rFont val="_Academiuri"/>
        <family val="2"/>
      </rPr>
      <t>B</t>
    </r>
    <r>
      <rPr>
        <b/>
        <sz val="10"/>
        <rFont val="LitNusx"/>
        <family val="0"/>
      </rPr>
      <t xml:space="preserve">-20 klasis betoniT </t>
    </r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</si>
  <si>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</si>
  <si>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</si>
  <si>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</si>
  <si>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</si>
  <si>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</si>
  <si>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</si>
  <si>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</si>
  <si>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SeniSvna: fasebi unda mieTiTos mxolod yviTeli feriT moniSnul ujrebSi</t>
  </si>
  <si>
    <r>
      <t>iatakis betonis momzadebis, pandusis, sayvaviles da gare kibis armireba d-8 mm a_</t>
    </r>
    <r>
      <rPr>
        <b/>
        <sz val="10"/>
        <rFont val="Latha"/>
        <family val="2"/>
      </rPr>
      <t>III</t>
    </r>
    <r>
      <rPr>
        <b/>
        <sz val="10"/>
        <rFont val="LitNusx"/>
        <family val="0"/>
      </rPr>
      <t xml:space="preserve"> armaturiT ujrebis bijiT 150*150 mm.</t>
    </r>
  </si>
  <si>
    <t>mdf-s karebis  mowyoba</t>
  </si>
  <si>
    <r>
      <t xml:space="preserve">fanjrebze sacremleebis mowyoba da </t>
    </r>
    <r>
      <rPr>
        <b/>
        <sz val="10"/>
        <rFont val="Levenim MT"/>
        <family val="0"/>
      </rPr>
      <t>IV</t>
    </r>
    <r>
      <rPr>
        <b/>
        <sz val="10"/>
        <rFont val="LitNusx"/>
        <family val="0"/>
      </rPr>
      <t xml:space="preserve"> sarTulis iatakis doneze penoplastis karni-zis zeda nawilis Semosva galvanizirebuli feradi TunuqiT sisqiT aranakleb 0,5 mm</t>
    </r>
  </si>
  <si>
    <t>iatakis hidroizolaciis mowyoba 2 fena aranakleb bituliniT, sisqiT 2+2 mm</t>
  </si>
  <si>
    <t>aranakleb bitulini sisqiT 2 mm</t>
  </si>
  <si>
    <t xml:space="preserve"> xis iatakisa da plintusebis SeRebva zeTovani saRebaviT, iatakis moxazviT</t>
  </si>
  <si>
    <r>
      <t xml:space="preserve"> </t>
    </r>
    <r>
      <rPr>
        <b/>
        <sz val="10"/>
        <rFont val="Levenim MT"/>
        <family val="0"/>
      </rPr>
      <t>IV</t>
    </r>
    <r>
      <rPr>
        <b/>
        <sz val="10"/>
        <rFont val="LitNusx"/>
        <family val="0"/>
      </rPr>
      <t xml:space="preserve"> sarTulis iatakis doneze martivi tipis gamyofi penoplastis karnizis mowyoba </t>
    </r>
  </si>
  <si>
    <t>sportuli inventaris (kalaTburTis fari samagri elementebiTa da aqsesuarebiT, frenburTis bade boZebiT(transformirebadi), xelburTis karebi aqsesuarebiT da Sveduri (tanvarjiSis) kedeli bagiriT) montaJi</t>
  </si>
  <si>
    <t>sxva danarCeni</t>
  </si>
  <si>
    <t>SeniSvna: fasebi unda mieTiTos mxolod yviTeli da mwvane feriT moniSnul ujrebSi</t>
  </si>
  <si>
    <r>
      <rPr>
        <b/>
        <sz val="10"/>
        <rFont val="Latha"/>
        <family val="2"/>
      </rPr>
      <t>I</t>
    </r>
    <r>
      <rPr>
        <b/>
        <sz val="10"/>
        <rFont val="LitNusx"/>
        <family val="2"/>
      </rPr>
      <t>. samontaJo samuSaoebi</t>
    </r>
  </si>
  <si>
    <r>
      <t xml:space="preserve">jami: </t>
    </r>
    <r>
      <rPr>
        <b/>
        <sz val="10"/>
        <rFont val="Latha"/>
        <family val="2"/>
      </rPr>
      <t>I</t>
    </r>
    <r>
      <rPr>
        <b/>
        <sz val="10"/>
        <rFont val="LitNusx"/>
        <family val="0"/>
      </rPr>
      <t xml:space="preserve"> samontaJo samuSaoebi</t>
    </r>
  </si>
  <si>
    <r>
      <rPr>
        <b/>
        <sz val="10"/>
        <rFont val="Latha"/>
        <family val="2"/>
      </rPr>
      <t>II</t>
    </r>
    <r>
      <rPr>
        <b/>
        <sz val="10"/>
        <rFont val="LitNusx"/>
        <family val="0"/>
      </rPr>
      <t xml:space="preserve"> masalebi</t>
    </r>
  </si>
  <si>
    <t>ventili d- 25 mm</t>
  </si>
  <si>
    <t>ventili d- 32 mm</t>
  </si>
  <si>
    <t>ventili d- 3/8"</t>
  </si>
  <si>
    <t>mili plastmasის d-20 mm</t>
  </si>
  <si>
    <t>mili plastmasis d- 25 mm</t>
  </si>
  <si>
    <t>mili plastmasis d- 32 mm</t>
  </si>
  <si>
    <r>
      <t xml:space="preserve">jami: </t>
    </r>
    <r>
      <rPr>
        <b/>
        <sz val="10"/>
        <rFont val="Latha"/>
        <family val="2"/>
      </rPr>
      <t>II</t>
    </r>
    <r>
      <rPr>
        <b/>
        <sz val="10"/>
        <rFont val="LitNusx"/>
        <family val="0"/>
      </rPr>
      <t xml:space="preserve"> masalebi</t>
    </r>
  </si>
  <si>
    <r>
      <rPr>
        <b/>
        <sz val="10"/>
        <rFont val="Lao UI"/>
        <family val="2"/>
      </rPr>
      <t>II</t>
    </r>
    <r>
      <rPr>
        <b/>
        <sz val="10"/>
        <rFont val="LitNusx"/>
        <family val="0"/>
      </rPr>
      <t xml:space="preserve"> masalebi</t>
    </r>
  </si>
  <si>
    <r>
      <t xml:space="preserve">jami: </t>
    </r>
    <r>
      <rPr>
        <b/>
        <sz val="10"/>
        <rFont val="Leelawadee"/>
        <family val="2"/>
      </rPr>
      <t>II</t>
    </r>
    <r>
      <rPr>
        <b/>
        <sz val="10"/>
        <rFont val="LitNusx"/>
        <family val="0"/>
      </rPr>
      <t xml:space="preserve"> masalebi</t>
    </r>
  </si>
  <si>
    <r>
      <t>lokalur-resursuli uwyisis jami:(</t>
    </r>
    <r>
      <rPr>
        <b/>
        <sz val="10"/>
        <rFont val="Lao UI"/>
        <family val="2"/>
      </rPr>
      <t>I+II</t>
    </r>
    <r>
      <rPr>
        <b/>
        <sz val="10"/>
        <rFont val="LitNusx"/>
        <family val="0"/>
      </rPr>
      <t>)</t>
    </r>
  </si>
  <si>
    <r>
      <t>22</t>
    </r>
    <r>
      <rPr>
        <b/>
        <sz val="10"/>
        <rFont val="Lao UI"/>
        <family val="2"/>
      </rPr>
      <t>P</t>
    </r>
    <r>
      <rPr>
        <b/>
        <sz val="10"/>
        <rFont val="Academiuri Nuskhuri"/>
        <family val="0"/>
      </rPr>
      <t>PKKP</t>
    </r>
    <r>
      <rPr>
        <b/>
        <sz val="10"/>
        <rFont val="LitNusx"/>
        <family val="0"/>
      </rPr>
      <t>-600 tipis foladis paneluri radiatoris dayeneba</t>
    </r>
  </si>
  <si>
    <r>
      <rPr>
        <b/>
        <sz val="10"/>
        <rFont val="Levenim MT"/>
        <family val="0"/>
      </rPr>
      <t>II</t>
    </r>
    <r>
      <rPr>
        <b/>
        <sz val="10"/>
        <rFont val="LitNusx"/>
        <family val="0"/>
      </rPr>
      <t xml:space="preserve"> masalebi</t>
    </r>
  </si>
  <si>
    <r>
      <rPr>
        <b/>
        <sz val="10"/>
        <rFont val="Latha"/>
        <family val="2"/>
      </rPr>
      <t>I</t>
    </r>
    <r>
      <rPr>
        <b/>
        <sz val="10"/>
        <rFont val="LitNusx"/>
        <family val="0"/>
      </rPr>
      <t>. samontaJo samuSaoebi</t>
    </r>
  </si>
  <si>
    <r>
      <t xml:space="preserve">jami: </t>
    </r>
    <r>
      <rPr>
        <b/>
        <sz val="10"/>
        <rFont val="Leelawadee"/>
        <family val="2"/>
      </rPr>
      <t>I</t>
    </r>
    <r>
      <rPr>
        <b/>
        <sz val="10"/>
        <rFont val="LitNusx"/>
        <family val="0"/>
      </rPr>
      <t xml:space="preserve"> samontaJo samuSaoebi</t>
    </r>
  </si>
  <si>
    <r>
      <rPr>
        <b/>
        <sz val="10"/>
        <rFont val="Latha"/>
        <family val="2"/>
      </rPr>
      <t>II</t>
    </r>
    <r>
      <rPr>
        <b/>
        <sz val="10"/>
        <rFont val="LitNusx"/>
        <family val="0"/>
      </rPr>
      <t>. masalebi</t>
    </r>
  </si>
  <si>
    <t>SeniSvna: fasebi unda mieTiTosyviTeli da mwvane feriT moniSnul yvela ujraSi</t>
  </si>
  <si>
    <r>
      <t xml:space="preserve">samisamarTo kvamlis deteqtori </t>
    </r>
    <r>
      <rPr>
        <sz val="10"/>
        <rFont val="Academiuri Nuskhuri"/>
        <family val="0"/>
      </rPr>
      <t>XP</t>
    </r>
    <r>
      <rPr>
        <sz val="10"/>
        <rFont val="LitNusx"/>
        <family val="0"/>
      </rPr>
      <t>95 msgavsi</t>
    </r>
  </si>
  <si>
    <r>
      <t>samisamarTo xelis Rilakiani deteqtori X</t>
    </r>
    <r>
      <rPr>
        <sz val="10"/>
        <rFont val="Academiuri Nuskhuri"/>
        <family val="0"/>
      </rPr>
      <t>P</t>
    </r>
    <r>
      <rPr>
        <sz val="10"/>
        <rFont val="LitNusx"/>
        <family val="0"/>
      </rPr>
      <t>95 msgavsi</t>
    </r>
  </si>
  <si>
    <r>
      <rPr>
        <b/>
        <sz val="10"/>
        <rFont val="Latha"/>
        <family val="2"/>
      </rPr>
      <t>I</t>
    </r>
    <r>
      <rPr>
        <b/>
        <sz val="10"/>
        <rFont val="LitNusx"/>
        <family val="0"/>
      </rPr>
      <t>. satelefono qselis mowyoba</t>
    </r>
  </si>
  <si>
    <r>
      <rPr>
        <b/>
        <sz val="10"/>
        <rFont val="Lao UI"/>
        <family val="2"/>
      </rPr>
      <t>II.</t>
    </r>
    <r>
      <rPr>
        <b/>
        <sz val="10"/>
        <rFont val="LitNusx"/>
        <family val="0"/>
      </rPr>
      <t xml:space="preserve"> internet qselis mowyoba</t>
    </r>
  </si>
  <si>
    <t>SeniSvna: fasebi unda mieTiTos yviTeli da mwvane feriT moniSnul yvela ujraSi</t>
  </si>
  <si>
    <r>
      <rPr>
        <b/>
        <sz val="11"/>
        <rFont val="Lao UI"/>
        <family val="2"/>
      </rPr>
      <t>II</t>
    </r>
    <r>
      <rPr>
        <b/>
        <sz val="11"/>
        <rFont val="LitNusx"/>
        <family val="0"/>
      </rPr>
      <t>. mowyobilobebi</t>
    </r>
  </si>
  <si>
    <r>
      <t>pandusis, sayvaviles da gare kibis saZirkvlisa da kedlebis armireba d-8 mm a_</t>
    </r>
    <r>
      <rPr>
        <b/>
        <sz val="10"/>
        <rFont val="Lao UI"/>
        <family val="2"/>
      </rPr>
      <t>III</t>
    </r>
    <r>
      <rPr>
        <b/>
        <sz val="10"/>
        <rFont val="LitNusx"/>
        <family val="0"/>
      </rPr>
      <t xml:space="preserve"> armaturiT ujrebis bijiT 150*150 mm.</t>
    </r>
  </si>
  <si>
    <r>
      <t>pandusis, sayvaviles da gare kibis armireba d-8 mm a_</t>
    </r>
    <r>
      <rPr>
        <b/>
        <sz val="10"/>
        <rFont val="Latha"/>
        <family val="2"/>
      </rPr>
      <t>III</t>
    </r>
    <r>
      <rPr>
        <b/>
        <sz val="10"/>
        <rFont val="LitNusx"/>
        <family val="0"/>
      </rPr>
      <t xml:space="preserve"> armaturiT ujrebis bijiT 150*150 mm.</t>
    </r>
  </si>
  <si>
    <t>saxuravis orTqlizolaciis mowyoba erTi fena bituliniT an msgavsiT sisqiT 2 mm</t>
  </si>
  <si>
    <t>bitulini an msgavsi δsisqiT 2 mm</t>
  </si>
  <si>
    <r>
      <t xml:space="preserve"> rbili saxuravis mowyoba sami fena bituliniT an msgavsiT (I-II fena _sisqiT 3 mm; </t>
    </r>
    <r>
      <rPr>
        <b/>
        <sz val="10"/>
        <rFont val="Lao UI"/>
        <family val="2"/>
      </rPr>
      <t xml:space="preserve">III </t>
    </r>
    <r>
      <rPr>
        <b/>
        <sz val="10"/>
        <rFont val="LitNusx"/>
        <family val="0"/>
      </rPr>
      <t xml:space="preserve">fena _ moxreSili δsisqiT 4 mm)   </t>
    </r>
  </si>
  <si>
    <t>bitulini an msgavsiδsisqiT 4 mm moxreSili</t>
  </si>
  <si>
    <r>
      <t>sanTuris bunebriv airze_</t>
    </r>
    <r>
      <rPr>
        <b/>
        <sz val="10"/>
        <rFont val="Latha"/>
        <family val="2"/>
      </rPr>
      <t xml:space="preserve"> NNG2</t>
    </r>
    <r>
      <rPr>
        <b/>
        <sz val="10"/>
        <rFont val="LitNusx"/>
        <family val="0"/>
      </rPr>
      <t>00 damontaJeba</t>
    </r>
  </si>
  <si>
    <r>
      <t xml:space="preserve">jami: </t>
    </r>
    <r>
      <rPr>
        <b/>
        <sz val="10"/>
        <rFont val="Lao UI"/>
        <family val="2"/>
      </rPr>
      <t>I</t>
    </r>
    <r>
      <rPr>
        <b/>
        <sz val="10"/>
        <rFont val="LitNusx"/>
        <family val="0"/>
      </rPr>
      <t xml:space="preserve"> samontaJo samuSaoebi</t>
    </r>
  </si>
  <si>
    <r>
      <t>jami:</t>
    </r>
    <r>
      <rPr>
        <b/>
        <sz val="10"/>
        <rFont val="Lao UI"/>
        <family val="2"/>
      </rPr>
      <t xml:space="preserve"> II</t>
    </r>
    <r>
      <rPr>
        <b/>
        <sz val="10"/>
        <rFont val="LitNusx"/>
        <family val="0"/>
      </rPr>
      <t xml:space="preserve"> masalebi</t>
    </r>
  </si>
  <si>
    <r>
      <rPr>
        <b/>
        <sz val="10"/>
        <rFont val="Lao UI"/>
        <family val="2"/>
      </rPr>
      <t>III.</t>
    </r>
    <r>
      <rPr>
        <b/>
        <sz val="10"/>
        <rFont val="LitNusx"/>
        <family val="0"/>
      </rPr>
      <t xml:space="preserve"> mowyobilobebi</t>
    </r>
  </si>
  <si>
    <r>
      <rPr>
        <b/>
        <sz val="10"/>
        <rFont val="Lao UI"/>
        <family val="2"/>
      </rPr>
      <t>I)</t>
    </r>
    <r>
      <rPr>
        <b/>
        <sz val="10"/>
        <rFont val="LitNusx"/>
        <family val="0"/>
      </rPr>
      <t xml:space="preserve"> axali betonis Robis mowyoba da axali da arsebuli Robis mopirkeTeba </t>
    </r>
  </si>
  <si>
    <r>
      <rPr>
        <b/>
        <sz val="10"/>
        <rFont val="Lao UI"/>
        <family val="2"/>
      </rPr>
      <t>III</t>
    </r>
    <r>
      <rPr>
        <b/>
        <sz val="10"/>
        <rFont val="LitNusx"/>
        <family val="0"/>
      </rPr>
      <t xml:space="preserve"> kategoriis gruntis damuSaveba xeliT gverdze dayriT</t>
    </r>
  </si>
  <si>
    <r>
      <rPr>
        <b/>
        <sz val="10"/>
        <rFont val="Lao UI"/>
        <family val="2"/>
      </rPr>
      <t>II)</t>
    </r>
    <r>
      <rPr>
        <b/>
        <sz val="10"/>
        <rFont val="LitNusx"/>
        <family val="0"/>
      </rPr>
      <t xml:space="preserve"> teritoriis keTilmowyoba da gamwvaneba.</t>
    </r>
  </si>
  <si>
    <t>sul xarjTaRricxvebis jami</t>
  </si>
  <si>
    <t xml:space="preserve">sarezervo Tanxa </t>
  </si>
  <si>
    <t>dRg</t>
  </si>
  <si>
    <t>sul jami</t>
  </si>
  <si>
    <t>pretendenti:</t>
  </si>
  <si>
    <t>SeniSvna: satransporto xarjebi gaTvaliswinebuli unda iqnas masalebis RirebulebaSi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</si>
</sst>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84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cadMtavr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b/>
      <sz val="10"/>
      <name val="Arial"/>
      <family val="2"/>
    </font>
    <font>
      <sz val="8"/>
      <name val="AcadNusx"/>
      <family val="0"/>
    </font>
    <font>
      <sz val="11"/>
      <name val="Arial"/>
      <family val="2"/>
    </font>
    <font>
      <b/>
      <sz val="8"/>
      <name val="AcadNusx"/>
      <family val="0"/>
    </font>
    <font>
      <sz val="8"/>
      <name val="Arial"/>
      <family val="2"/>
    </font>
    <font>
      <u val="single"/>
      <sz val="10"/>
      <name val="AcadNusx"/>
      <family val="0"/>
    </font>
    <font>
      <sz val="10"/>
      <name val="Acad Nusx Geo"/>
      <family val="2"/>
    </font>
    <font>
      <sz val="10"/>
      <name val="LitNusx"/>
      <family val="0"/>
    </font>
    <font>
      <sz val="11"/>
      <name val="LitNusx"/>
      <family val="0"/>
    </font>
    <font>
      <b/>
      <sz val="9"/>
      <name val="LitNusx"/>
      <family val="0"/>
    </font>
    <font>
      <sz val="9"/>
      <name val="LitNusx"/>
      <family val="0"/>
    </font>
    <font>
      <b/>
      <sz val="11"/>
      <name val="LitNusx"/>
      <family val="0"/>
    </font>
    <font>
      <b/>
      <sz val="10"/>
      <name val="LitNusx"/>
      <family val="0"/>
    </font>
    <font>
      <b/>
      <sz val="8"/>
      <name val="LitNusx"/>
      <family val="0"/>
    </font>
    <font>
      <b/>
      <u val="single"/>
      <sz val="10"/>
      <name val="LitNusx"/>
      <family val="0"/>
    </font>
    <font>
      <b/>
      <i/>
      <sz val="10"/>
      <name val="LitNusx"/>
      <family val="0"/>
    </font>
    <font>
      <sz val="10"/>
      <color indexed="14"/>
      <name val="LitNusx"/>
      <family val="0"/>
    </font>
    <font>
      <sz val="11"/>
      <color indexed="14"/>
      <name val="LitNusx"/>
      <family val="0"/>
    </font>
    <font>
      <b/>
      <sz val="10"/>
      <name val="Academiuri Nuskhuri"/>
      <family val="0"/>
    </font>
    <font>
      <sz val="10"/>
      <name val="Academiuri Nuskhuri"/>
      <family val="0"/>
    </font>
    <font>
      <sz val="10"/>
      <name val="Lazurski"/>
      <family val="0"/>
    </font>
    <font>
      <sz val="9"/>
      <name val="Academiuri Nuskhuri"/>
      <family val="0"/>
    </font>
    <font>
      <vertAlign val="superscript"/>
      <sz val="10"/>
      <name val="LitNusx"/>
      <family val="0"/>
    </font>
    <font>
      <u val="single"/>
      <sz val="10"/>
      <name val="LitNusx"/>
      <family val="0"/>
    </font>
    <font>
      <sz val="11"/>
      <name val="Academiuri Nuskhuri"/>
      <family val="0"/>
    </font>
    <font>
      <b/>
      <sz val="10"/>
      <name val="_Academiuri"/>
      <family val="2"/>
    </font>
    <font>
      <sz val="10"/>
      <name val="_Academiuri"/>
      <family val="2"/>
    </font>
    <font>
      <sz val="12"/>
      <name val="LitNusx"/>
      <family val="2"/>
    </font>
    <font>
      <b/>
      <sz val="10"/>
      <name val="Lao UI"/>
      <family val="2"/>
    </font>
    <font>
      <b/>
      <sz val="10"/>
      <name val="Latha"/>
      <family val="2"/>
    </font>
    <font>
      <b/>
      <sz val="10"/>
      <name val="Leelawadee"/>
      <family val="2"/>
    </font>
    <font>
      <b/>
      <sz val="10"/>
      <name val="Levenim MT"/>
      <family val="0"/>
    </font>
    <font>
      <b/>
      <sz val="11"/>
      <name val="Lao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LitNusx"/>
      <family val="0"/>
    </font>
    <font>
      <sz val="9"/>
      <color indexed="10"/>
      <name val="LitNusx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LitNusx"/>
      <family val="0"/>
    </font>
    <font>
      <sz val="9"/>
      <color rgb="FFFF0000"/>
      <name val="LitNusx"/>
      <family val="0"/>
    </font>
    <font>
      <sz val="10"/>
      <color rgb="FF555555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24" borderId="1" applyNumberFormat="0" applyAlignment="0" applyProtection="0"/>
    <xf numFmtId="0" fontId="7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6" fillId="0" borderId="3" applyNumberFormat="0" applyFill="0" applyAlignment="0" applyProtection="0"/>
    <xf numFmtId="0" fontId="5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7" borderId="1" applyNumberFormat="0" applyAlignment="0" applyProtection="0"/>
    <xf numFmtId="0" fontId="76" fillId="0" borderId="6" applyNumberFormat="0" applyFill="0" applyAlignment="0" applyProtection="0"/>
    <xf numFmtId="0" fontId="77" fillId="28" borderId="0" applyNumberFormat="0" applyBorder="0" applyAlignment="0" applyProtection="0"/>
    <xf numFmtId="0" fontId="0" fillId="29" borderId="7" applyNumberFormat="0" applyFont="0" applyAlignment="0" applyProtection="0"/>
    <xf numFmtId="0" fontId="78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3" fillId="30" borderId="0" xfId="0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5" fillId="3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30" borderId="0" xfId="0" applyNumberFormat="1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1" fontId="5" fillId="3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0" fontId="24" fillId="0" borderId="14" xfId="0" applyFont="1" applyBorder="1" applyAlignment="1">
      <alignment horizontal="center" vertical="center" textRotation="90" wrapText="1"/>
    </xf>
    <xf numFmtId="1" fontId="24" fillId="0" borderId="20" xfId="0" applyNumberFormat="1" applyFont="1" applyFill="1" applyBorder="1" applyAlignment="1">
      <alignment horizontal="center" vertical="center" textRotation="90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2" fontId="21" fillId="30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right" vertical="center" wrapText="1"/>
    </xf>
    <xf numFmtId="189" fontId="26" fillId="0" borderId="16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center" vertical="center" wrapText="1"/>
    </xf>
    <xf numFmtId="19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188" fontId="21" fillId="0" borderId="14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189" fontId="21" fillId="0" borderId="14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190" fontId="21" fillId="0" borderId="18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1" fontId="26" fillId="0" borderId="16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92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9" fontId="26" fillId="0" borderId="1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2" fontId="26" fillId="0" borderId="26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89" fontId="26" fillId="0" borderId="17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/>
    </xf>
    <xf numFmtId="2" fontId="21" fillId="30" borderId="14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4" fontId="26" fillId="0" borderId="2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" fontId="21" fillId="31" borderId="14" xfId="0" applyNumberFormat="1" applyFont="1" applyFill="1" applyBorder="1" applyAlignment="1">
      <alignment horizontal="center" vertical="center"/>
    </xf>
    <xf numFmtId="190" fontId="21" fillId="0" borderId="14" xfId="0" applyNumberFormat="1" applyFont="1" applyFill="1" applyBorder="1" applyAlignment="1">
      <alignment horizontal="center" vertical="center"/>
    </xf>
    <xf numFmtId="49" fontId="26" fillId="31" borderId="12" xfId="0" applyNumberFormat="1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/>
    </xf>
    <xf numFmtId="1" fontId="26" fillId="31" borderId="16" xfId="0" applyNumberFormat="1" applyFont="1" applyFill="1" applyBorder="1" applyAlignment="1">
      <alignment horizontal="center" vertical="center" wrapText="1"/>
    </xf>
    <xf numFmtId="49" fontId="21" fillId="31" borderId="13" xfId="0" applyNumberFormat="1" applyFont="1" applyFill="1" applyBorder="1" applyAlignment="1">
      <alignment horizontal="center" vertical="center" wrapText="1"/>
    </xf>
    <xf numFmtId="49" fontId="24" fillId="31" borderId="14" xfId="0" applyNumberFormat="1" applyFont="1" applyFill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center" vertical="center" wrapText="1"/>
    </xf>
    <xf numFmtId="2" fontId="21" fillId="31" borderId="14" xfId="0" applyNumberFormat="1" applyFont="1" applyFill="1" applyBorder="1" applyAlignment="1">
      <alignment horizontal="center" vertical="center"/>
    </xf>
    <xf numFmtId="188" fontId="21" fillId="31" borderId="14" xfId="0" applyNumberFormat="1" applyFont="1" applyFill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center" vertical="center"/>
    </xf>
    <xf numFmtId="49" fontId="21" fillId="31" borderId="15" xfId="0" applyNumberFormat="1" applyFont="1" applyFill="1" applyBorder="1" applyAlignment="1">
      <alignment horizontal="center" vertical="center" wrapText="1"/>
    </xf>
    <xf numFmtId="0" fontId="21" fillId="31" borderId="19" xfId="0" applyFont="1" applyFill="1" applyBorder="1" applyAlignment="1">
      <alignment horizontal="center" vertical="center" wrapText="1"/>
    </xf>
    <xf numFmtId="0" fontId="21" fillId="31" borderId="19" xfId="0" applyFont="1" applyFill="1" applyBorder="1" applyAlignment="1">
      <alignment horizontal="center" vertical="center"/>
    </xf>
    <xf numFmtId="2" fontId="21" fillId="31" borderId="19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31" borderId="17" xfId="0" applyFont="1" applyFill="1" applyBorder="1" applyAlignment="1">
      <alignment horizontal="center" vertical="center" wrapText="1"/>
    </xf>
    <xf numFmtId="189" fontId="26" fillId="31" borderId="16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Alignment="1">
      <alignment/>
    </xf>
    <xf numFmtId="4" fontId="21" fillId="0" borderId="14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1" fillId="0" borderId="0" xfId="0" applyNumberFormat="1" applyFont="1" applyFill="1" applyAlignment="1">
      <alignment horizontal="center" vertical="center"/>
    </xf>
    <xf numFmtId="2" fontId="26" fillId="0" borderId="0" xfId="0" applyNumberFormat="1" applyFont="1" applyFill="1" applyAlignment="1">
      <alignment/>
    </xf>
    <xf numFmtId="49" fontId="81" fillId="0" borderId="10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/>
    </xf>
    <xf numFmtId="2" fontId="81" fillId="0" borderId="24" xfId="0" applyNumberFormat="1" applyFont="1" applyFill="1" applyBorder="1" applyAlignment="1">
      <alignment horizontal="center" vertical="center"/>
    </xf>
    <xf numFmtId="1" fontId="81" fillId="0" borderId="32" xfId="0" applyNumberFormat="1" applyFont="1" applyFill="1" applyBorder="1" applyAlignment="1">
      <alignment horizontal="center" vertical="center"/>
    </xf>
    <xf numFmtId="1" fontId="81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2" fontId="81" fillId="0" borderId="0" xfId="0" applyNumberFormat="1" applyFont="1" applyFill="1" applyBorder="1" applyAlignment="1">
      <alignment horizontal="center" vertical="center"/>
    </xf>
    <xf numFmtId="49" fontId="81" fillId="0" borderId="33" xfId="0" applyNumberFormat="1" applyFont="1" applyFill="1" applyBorder="1" applyAlignment="1">
      <alignment horizontal="center" vertical="center" wrapText="1"/>
    </xf>
    <xf numFmtId="9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9" fontId="26" fillId="0" borderId="18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9" fontId="26" fillId="0" borderId="14" xfId="0" applyNumberFormat="1" applyFont="1" applyFill="1" applyBorder="1" applyAlignment="1">
      <alignment horizontal="center" vertical="center" wrapText="1"/>
    </xf>
    <xf numFmtId="49" fontId="21" fillId="30" borderId="1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2" fontId="21" fillId="0" borderId="24" xfId="0" applyNumberFormat="1" applyFont="1" applyFill="1" applyBorder="1" applyAlignment="1">
      <alignment horizontal="center" vertical="center"/>
    </xf>
    <xf numFmtId="49" fontId="21" fillId="31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left" vertical="center" wrapText="1"/>
    </xf>
    <xf numFmtId="189" fontId="26" fillId="0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horizontal="center" vertical="center" wrapText="1"/>
    </xf>
    <xf numFmtId="189" fontId="21" fillId="30" borderId="14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3" fontId="26" fillId="30" borderId="0" xfId="0" applyNumberFormat="1" applyFont="1" applyFill="1" applyBorder="1" applyAlignment="1">
      <alignment horizontal="center" vertical="center" wrapText="1"/>
    </xf>
    <xf numFmtId="0" fontId="21" fillId="30" borderId="0" xfId="0" applyFont="1" applyFill="1" applyBorder="1" applyAlignment="1">
      <alignment horizontal="center" vertical="center" wrapText="1"/>
    </xf>
    <xf numFmtId="2" fontId="21" fillId="30" borderId="0" xfId="0" applyNumberFormat="1" applyFont="1" applyFill="1" applyBorder="1" applyAlignment="1">
      <alignment horizontal="center" vertical="center" wrapText="1"/>
    </xf>
    <xf numFmtId="3" fontId="21" fillId="32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89" fontId="26" fillId="0" borderId="0" xfId="0" applyNumberFormat="1" applyFont="1" applyFill="1" applyBorder="1" applyAlignment="1">
      <alignment horizontal="center" vertical="center" wrapText="1"/>
    </xf>
    <xf numFmtId="190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Fill="1" applyBorder="1" applyAlignment="1">
      <alignment horizontal="center" vertical="center" wrapText="1"/>
    </xf>
    <xf numFmtId="188" fontId="21" fillId="0" borderId="0" xfId="0" applyNumberFormat="1" applyFont="1" applyFill="1" applyBorder="1" applyAlignment="1">
      <alignment horizontal="center"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192" fontId="21" fillId="0" borderId="0" xfId="0" applyNumberFormat="1" applyFont="1" applyFill="1" applyBorder="1" applyAlignment="1">
      <alignment horizontal="center" vertical="center" wrapText="1"/>
    </xf>
    <xf numFmtId="3" fontId="26" fillId="3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21" fillId="30" borderId="0" xfId="0" applyNumberFormat="1" applyFont="1" applyFill="1" applyBorder="1" applyAlignment="1">
      <alignment horizontal="center" vertical="center" wrapText="1"/>
    </xf>
    <xf numFmtId="0" fontId="21" fillId="31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89" fontId="26" fillId="30" borderId="0" xfId="0" applyNumberFormat="1" applyFont="1" applyFill="1" applyBorder="1" applyAlignment="1">
      <alignment horizontal="center" vertical="center" wrapText="1"/>
    </xf>
    <xf numFmtId="189" fontId="21" fillId="3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3" fontId="21" fillId="33" borderId="0" xfId="0" applyNumberFormat="1" applyFont="1" applyFill="1" applyBorder="1" applyAlignment="1">
      <alignment horizontal="center" vertical="center"/>
    </xf>
    <xf numFmtId="49" fontId="26" fillId="30" borderId="0" xfId="0" applyNumberFormat="1" applyFont="1" applyFill="1" applyBorder="1" applyAlignment="1">
      <alignment horizontal="center" vertical="center" wrapText="1"/>
    </xf>
    <xf numFmtId="0" fontId="26" fillId="30" borderId="0" xfId="0" applyFont="1" applyFill="1" applyBorder="1" applyAlignment="1">
      <alignment vertical="center" wrapText="1"/>
    </xf>
    <xf numFmtId="3" fontId="26" fillId="31" borderId="0" xfId="0" applyNumberFormat="1" applyFont="1" applyFill="1" applyBorder="1" applyAlignment="1">
      <alignment horizontal="center" vertical="center"/>
    </xf>
    <xf numFmtId="49" fontId="21" fillId="3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188" fontId="21" fillId="30" borderId="0" xfId="0" applyNumberFormat="1" applyFont="1" applyFill="1" applyBorder="1" applyAlignment="1">
      <alignment horizontal="center" vertical="center" wrapText="1"/>
    </xf>
    <xf numFmtId="192" fontId="21" fillId="30" borderId="0" xfId="0" applyNumberFormat="1" applyFont="1" applyFill="1" applyBorder="1" applyAlignment="1">
      <alignment horizontal="center" vertical="center" wrapText="1"/>
    </xf>
    <xf numFmtId="1" fontId="26" fillId="31" borderId="0" xfId="0" applyNumberFormat="1" applyFont="1" applyFill="1" applyBorder="1" applyAlignment="1">
      <alignment horizontal="center" vertical="center"/>
    </xf>
    <xf numFmtId="1" fontId="21" fillId="30" borderId="0" xfId="0" applyNumberFormat="1" applyFont="1" applyFill="1" applyBorder="1" applyAlignment="1">
      <alignment horizontal="center" vertical="center" wrapText="1"/>
    </xf>
    <xf numFmtId="202" fontId="26" fillId="30" borderId="0" xfId="0" applyNumberFormat="1" applyFont="1" applyFill="1" applyBorder="1" applyAlignment="1">
      <alignment horizontal="center" vertical="center" wrapText="1"/>
    </xf>
    <xf numFmtId="1" fontId="26" fillId="34" borderId="0" xfId="0" applyNumberFormat="1" applyFont="1" applyFill="1" applyBorder="1" applyAlignment="1">
      <alignment horizontal="center" vertical="center"/>
    </xf>
    <xf numFmtId="1" fontId="21" fillId="35" borderId="0" xfId="0" applyNumberFormat="1" applyFont="1" applyFill="1" applyBorder="1" applyAlignment="1">
      <alignment horizontal="center" vertical="center"/>
    </xf>
    <xf numFmtId="49" fontId="26" fillId="31" borderId="0" xfId="0" applyNumberFormat="1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vertical="center" wrapText="1"/>
    </xf>
    <xf numFmtId="189" fontId="26" fillId="31" borderId="0" xfId="0" applyNumberFormat="1" applyFont="1" applyFill="1" applyBorder="1" applyAlignment="1">
      <alignment horizontal="center" vertical="center" wrapText="1"/>
    </xf>
    <xf numFmtId="49" fontId="21" fillId="31" borderId="0" xfId="0" applyNumberFormat="1" applyFont="1" applyFill="1" applyBorder="1" applyAlignment="1">
      <alignment horizontal="center" vertical="center" wrapText="1"/>
    </xf>
    <xf numFmtId="49" fontId="24" fillId="31" borderId="0" xfId="0" applyNumberFormat="1" applyFont="1" applyFill="1" applyBorder="1" applyAlignment="1">
      <alignment horizontal="center" vertical="center" wrapText="1"/>
    </xf>
    <xf numFmtId="2" fontId="21" fillId="31" borderId="0" xfId="0" applyNumberFormat="1" applyFont="1" applyFill="1" applyBorder="1" applyAlignment="1">
      <alignment horizontal="center" vertical="center"/>
    </xf>
    <xf numFmtId="3" fontId="21" fillId="31" borderId="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9" fontId="2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88" fontId="21" fillId="0" borderId="14" xfId="0" applyNumberFormat="1" applyFont="1" applyFill="1" applyBorder="1" applyAlignment="1">
      <alignment horizontal="center" vertical="center"/>
    </xf>
    <xf numFmtId="189" fontId="26" fillId="31" borderId="17" xfId="0" applyNumberFormat="1" applyFont="1" applyFill="1" applyBorder="1" applyAlignment="1">
      <alignment horizontal="center" vertical="center" wrapText="1"/>
    </xf>
    <xf numFmtId="1" fontId="21" fillId="31" borderId="14" xfId="0" applyNumberFormat="1" applyFont="1" applyFill="1" applyBorder="1" applyAlignment="1">
      <alignment horizontal="center" vertical="center" wrapText="1"/>
    </xf>
    <xf numFmtId="1" fontId="26" fillId="31" borderId="10" xfId="0" applyNumberFormat="1" applyFont="1" applyFill="1" applyBorder="1" applyAlignment="1">
      <alignment horizontal="center" vertical="center" wrapText="1"/>
    </xf>
    <xf numFmtId="0" fontId="26" fillId="31" borderId="17" xfId="0" applyFont="1" applyFill="1" applyBorder="1" applyAlignment="1">
      <alignment horizontal="right" vertical="center" wrapText="1"/>
    </xf>
    <xf numFmtId="2" fontId="21" fillId="31" borderId="19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88" fontId="26" fillId="0" borderId="14" xfId="0" applyNumberFormat="1" applyFont="1" applyBorder="1" applyAlignment="1">
      <alignment horizontal="center" vertical="center"/>
    </xf>
    <xf numFmtId="188" fontId="21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textRotation="90" wrapText="1"/>
    </xf>
    <xf numFmtId="189" fontId="21" fillId="30" borderId="14" xfId="0" applyNumberFormat="1" applyFont="1" applyFill="1" applyBorder="1" applyAlignment="1">
      <alignment horizontal="center" vertical="center"/>
    </xf>
    <xf numFmtId="0" fontId="24" fillId="31" borderId="14" xfId="0" applyFont="1" applyFill="1" applyBorder="1" applyAlignment="1">
      <alignment horizontal="center" vertical="center" wrapText="1"/>
    </xf>
    <xf numFmtId="2" fontId="21" fillId="31" borderId="14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6" fillId="0" borderId="18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30" borderId="14" xfId="0" applyNumberFormat="1" applyFont="1" applyFill="1" applyBorder="1" applyAlignment="1">
      <alignment horizontal="center" vertical="center" wrapText="1"/>
    </xf>
    <xf numFmtId="0" fontId="23" fillId="31" borderId="14" xfId="0" applyFont="1" applyFill="1" applyBorder="1" applyAlignment="1">
      <alignment horizontal="center" vertical="center" wrapText="1"/>
    </xf>
    <xf numFmtId="202" fontId="26" fillId="0" borderId="14" xfId="0" applyNumberFormat="1" applyFont="1" applyFill="1" applyBorder="1" applyAlignment="1">
      <alignment horizontal="center" vertical="center" wrapText="1"/>
    </xf>
    <xf numFmtId="49" fontId="26" fillId="31" borderId="14" xfId="0" applyNumberFormat="1" applyFont="1" applyFill="1" applyBorder="1" applyAlignment="1">
      <alignment horizontal="center" vertical="center" wrapText="1"/>
    </xf>
    <xf numFmtId="189" fontId="26" fillId="31" borderId="14" xfId="0" applyNumberFormat="1" applyFont="1" applyFill="1" applyBorder="1" applyAlignment="1">
      <alignment horizontal="center" vertical="center" wrapText="1"/>
    </xf>
    <xf numFmtId="1" fontId="26" fillId="30" borderId="17" xfId="0" applyNumberFormat="1" applyFont="1" applyFill="1" applyBorder="1" applyAlignment="1">
      <alignment horizontal="center" vertical="center" wrapText="1"/>
    </xf>
    <xf numFmtId="0" fontId="26" fillId="31" borderId="17" xfId="0" applyFont="1" applyFill="1" applyBorder="1" applyAlignment="1">
      <alignment horizontal="center" vertical="center"/>
    </xf>
    <xf numFmtId="202" fontId="26" fillId="30" borderId="17" xfId="0" applyNumberFormat="1" applyFont="1" applyFill="1" applyBorder="1" applyAlignment="1">
      <alignment horizontal="center" vertical="center"/>
    </xf>
    <xf numFmtId="0" fontId="26" fillId="31" borderId="14" xfId="0" applyFont="1" applyFill="1" applyBorder="1" applyAlignment="1">
      <alignment horizontal="right" vertical="center" wrapText="1"/>
    </xf>
    <xf numFmtId="202" fontId="26" fillId="31" borderId="14" xfId="0" applyNumberFormat="1" applyFont="1" applyFill="1" applyBorder="1" applyAlignment="1">
      <alignment horizontal="center" vertical="center" wrapText="1"/>
    </xf>
    <xf numFmtId="0" fontId="26" fillId="31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3" fontId="21" fillId="29" borderId="0" xfId="0" applyNumberFormat="1" applyFont="1" applyFill="1" applyBorder="1" applyAlignment="1">
      <alignment horizontal="center" vertical="center" wrapText="1"/>
    </xf>
    <xf numFmtId="3" fontId="26" fillId="36" borderId="0" xfId="0" applyNumberFormat="1" applyFont="1" applyFill="1" applyBorder="1" applyAlignment="1">
      <alignment horizontal="center" vertical="center" wrapText="1"/>
    </xf>
    <xf numFmtId="3" fontId="26" fillId="36" borderId="0" xfId="0" applyNumberFormat="1" applyFont="1" applyFill="1" applyBorder="1" applyAlignment="1">
      <alignment horizontal="center" vertical="center"/>
    </xf>
    <xf numFmtId="202" fontId="26" fillId="0" borderId="0" xfId="0" applyNumberFormat="1" applyFont="1" applyFill="1" applyBorder="1" applyAlignment="1">
      <alignment horizontal="center" vertical="center" wrapText="1"/>
    </xf>
    <xf numFmtId="18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6" fillId="31" borderId="0" xfId="0" applyFont="1" applyFill="1" applyBorder="1" applyAlignment="1">
      <alignment horizontal="center" vertical="center"/>
    </xf>
    <xf numFmtId="0" fontId="23" fillId="31" borderId="0" xfId="0" applyFont="1" applyFill="1" applyBorder="1" applyAlignment="1">
      <alignment horizontal="center" vertical="center" wrapText="1"/>
    </xf>
    <xf numFmtId="2" fontId="26" fillId="31" borderId="0" xfId="0" applyNumberFormat="1" applyFont="1" applyFill="1" applyBorder="1" applyAlignment="1">
      <alignment horizontal="center" vertical="center" wrapText="1"/>
    </xf>
    <xf numFmtId="3" fontId="26" fillId="31" borderId="0" xfId="0" applyNumberFormat="1" applyFont="1" applyFill="1" applyBorder="1" applyAlignment="1">
      <alignment horizontal="center" vertical="center" wrapText="1"/>
    </xf>
    <xf numFmtId="49" fontId="21" fillId="31" borderId="0" xfId="0" applyNumberFormat="1" applyFont="1" applyFill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188" fontId="21" fillId="31" borderId="0" xfId="0" applyNumberFormat="1" applyFont="1" applyFill="1" applyBorder="1" applyAlignment="1">
      <alignment horizontal="center" vertical="center"/>
    </xf>
    <xf numFmtId="189" fontId="21" fillId="31" borderId="0" xfId="0" applyNumberFormat="1" applyFont="1" applyFill="1" applyBorder="1" applyAlignment="1">
      <alignment horizontal="center" vertical="center"/>
    </xf>
    <xf numFmtId="0" fontId="24" fillId="31" borderId="0" xfId="0" applyFont="1" applyFill="1" applyBorder="1" applyAlignment="1">
      <alignment horizontal="center" vertical="center" wrapText="1"/>
    </xf>
    <xf numFmtId="2" fontId="21" fillId="31" borderId="0" xfId="0" applyNumberFormat="1" applyFont="1" applyFill="1" applyBorder="1" applyAlignment="1">
      <alignment horizontal="center" vertical="center" wrapText="1"/>
    </xf>
    <xf numFmtId="3" fontId="21" fillId="31" borderId="0" xfId="0" applyNumberFormat="1" applyFont="1" applyFill="1" applyBorder="1" applyAlignment="1">
      <alignment horizontal="center" vertical="center" wrapText="1"/>
    </xf>
    <xf numFmtId="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0" fontId="0" fillId="31" borderId="0" xfId="0" applyFill="1" applyBorder="1" applyAlignment="1">
      <alignment/>
    </xf>
    <xf numFmtId="189" fontId="26" fillId="31" borderId="0" xfId="0" applyNumberFormat="1" applyFont="1" applyFill="1" applyBorder="1" applyAlignment="1">
      <alignment horizontal="center" vertical="center"/>
    </xf>
    <xf numFmtId="0" fontId="26" fillId="31" borderId="0" xfId="0" applyFont="1" applyFill="1" applyBorder="1" applyAlignment="1">
      <alignment vertical="center"/>
    </xf>
    <xf numFmtId="1" fontId="26" fillId="31" borderId="0" xfId="0" applyNumberFormat="1" applyFont="1" applyFill="1" applyBorder="1" applyAlignment="1">
      <alignment horizontal="center" vertical="center" wrapText="1"/>
    </xf>
    <xf numFmtId="2" fontId="26" fillId="31" borderId="0" xfId="0" applyNumberFormat="1" applyFont="1" applyFill="1" applyBorder="1" applyAlignment="1">
      <alignment horizontal="center" vertical="center"/>
    </xf>
    <xf numFmtId="192" fontId="21" fillId="31" borderId="0" xfId="0" applyNumberFormat="1" applyFont="1" applyFill="1" applyBorder="1" applyAlignment="1">
      <alignment horizontal="center" vertical="center" wrapText="1"/>
    </xf>
    <xf numFmtId="188" fontId="21" fillId="31" borderId="0" xfId="0" applyNumberFormat="1" applyFont="1" applyFill="1" applyBorder="1" applyAlignment="1">
      <alignment horizontal="center" vertical="center" wrapText="1"/>
    </xf>
    <xf numFmtId="189" fontId="21" fillId="31" borderId="0" xfId="0" applyNumberFormat="1" applyFont="1" applyFill="1" applyBorder="1" applyAlignment="1">
      <alignment horizontal="center" vertical="center" wrapText="1"/>
    </xf>
    <xf numFmtId="192" fontId="21" fillId="31" borderId="0" xfId="0" applyNumberFormat="1" applyFont="1" applyFill="1" applyBorder="1" applyAlignment="1">
      <alignment horizontal="center" vertical="center"/>
    </xf>
    <xf numFmtId="202" fontId="26" fillId="31" borderId="0" xfId="0" applyNumberFormat="1" applyFont="1" applyFill="1" applyBorder="1" applyAlignment="1">
      <alignment horizontal="center" vertical="center"/>
    </xf>
    <xf numFmtId="190" fontId="21" fillId="31" borderId="0" xfId="0" applyNumberFormat="1" applyFont="1" applyFill="1" applyBorder="1" applyAlignment="1">
      <alignment horizontal="center" vertical="center"/>
    </xf>
    <xf numFmtId="1" fontId="21" fillId="31" borderId="0" xfId="0" applyNumberFormat="1" applyFont="1" applyFill="1" applyBorder="1" applyAlignment="1">
      <alignment horizontal="center" vertical="center" wrapText="1"/>
    </xf>
    <xf numFmtId="202" fontId="26" fillId="31" borderId="0" xfId="0" applyNumberFormat="1" applyFont="1" applyFill="1" applyBorder="1" applyAlignment="1">
      <alignment horizontal="center" vertical="center" wrapText="1"/>
    </xf>
    <xf numFmtId="1" fontId="21" fillId="31" borderId="0" xfId="0" applyNumberFormat="1" applyFont="1" applyFill="1" applyBorder="1" applyAlignment="1">
      <alignment horizontal="center" vertical="center"/>
    </xf>
    <xf numFmtId="0" fontId="23" fillId="31" borderId="0" xfId="0" applyFont="1" applyFill="1" applyBorder="1" applyAlignment="1">
      <alignment horizontal="center" vertical="center"/>
    </xf>
    <xf numFmtId="190" fontId="21" fillId="31" borderId="0" xfId="0" applyNumberFormat="1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" fontId="26" fillId="31" borderId="14" xfId="0" applyNumberFormat="1" applyFont="1" applyFill="1" applyBorder="1" applyAlignment="1">
      <alignment horizontal="center" vertical="center" wrapText="1"/>
    </xf>
    <xf numFmtId="188" fontId="26" fillId="31" borderId="14" xfId="0" applyNumberFormat="1" applyFont="1" applyFill="1" applyBorder="1" applyAlignment="1">
      <alignment horizontal="center" vertical="center" wrapText="1"/>
    </xf>
    <xf numFmtId="188" fontId="26" fillId="0" borderId="14" xfId="0" applyNumberFormat="1" applyFont="1" applyFill="1" applyBorder="1" applyAlignment="1">
      <alignment horizontal="center" vertical="center" wrapText="1"/>
    </xf>
    <xf numFmtId="188" fontId="26" fillId="0" borderId="14" xfId="0" applyNumberFormat="1" applyFont="1" applyFill="1" applyBorder="1" applyAlignment="1">
      <alignment horizontal="center" vertical="center"/>
    </xf>
    <xf numFmtId="189" fontId="26" fillId="0" borderId="14" xfId="0" applyNumberFormat="1" applyFont="1" applyFill="1" applyBorder="1" applyAlignment="1">
      <alignment horizontal="center" vertical="center"/>
    </xf>
    <xf numFmtId="190" fontId="21" fillId="31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189" fontId="21" fillId="31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31" borderId="14" xfId="0" applyFont="1" applyFill="1" applyBorder="1" applyAlignment="1">
      <alignment horizontal="center" vertical="center"/>
    </xf>
    <xf numFmtId="1" fontId="26" fillId="31" borderId="14" xfId="0" applyNumberFormat="1" applyFont="1" applyFill="1" applyBorder="1" applyAlignment="1">
      <alignment horizontal="center" vertical="center"/>
    </xf>
    <xf numFmtId="192" fontId="21" fillId="0" borderId="14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 wrapText="1"/>
    </xf>
    <xf numFmtId="189" fontId="26" fillId="31" borderId="14" xfId="0" applyNumberFormat="1" applyFont="1" applyFill="1" applyBorder="1" applyAlignment="1">
      <alignment horizontal="center" vertical="center"/>
    </xf>
    <xf numFmtId="203" fontId="21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203" fontId="26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9" fontId="21" fillId="0" borderId="33" xfId="0" applyNumberFormat="1" applyFont="1" applyFill="1" applyBorder="1" applyAlignment="1">
      <alignment horizontal="center" vertical="center" wrapText="1"/>
    </xf>
    <xf numFmtId="190" fontId="26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26" fillId="31" borderId="18" xfId="0" applyFont="1" applyFill="1" applyBorder="1" applyAlignment="1">
      <alignment horizontal="center" vertical="center" wrapText="1"/>
    </xf>
    <xf numFmtId="1" fontId="22" fillId="31" borderId="0" xfId="0" applyNumberFormat="1" applyFont="1" applyFill="1" applyAlignment="1">
      <alignment horizontal="center" vertical="center" wrapText="1"/>
    </xf>
    <xf numFmtId="1" fontId="1" fillId="31" borderId="0" xfId="0" applyNumberFormat="1" applyFont="1" applyFill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2" fontId="21" fillId="31" borderId="0" xfId="0" applyNumberFormat="1" applyFont="1" applyFill="1" applyBorder="1" applyAlignment="1">
      <alignment horizontal="left" vertical="center" wrapText="1"/>
    </xf>
    <xf numFmtId="0" fontId="21" fillId="31" borderId="14" xfId="0" applyFont="1" applyFill="1" applyBorder="1" applyAlignment="1">
      <alignment horizontal="center" vertical="center" wrapText="1"/>
    </xf>
    <xf numFmtId="1" fontId="26" fillId="31" borderId="18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1" fillId="31" borderId="0" xfId="0" applyFont="1" applyFill="1" applyBorder="1" applyAlignment="1">
      <alignment horizontal="center" vertical="center" wrapText="1"/>
    </xf>
    <xf numFmtId="0" fontId="41" fillId="31" borderId="14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9" fontId="41" fillId="31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left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  <xf numFmtId="0" fontId="41" fillId="37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5" fillId="31" borderId="0" xfId="0" applyFont="1" applyFill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wrapText="1"/>
    </xf>
    <xf numFmtId="2" fontId="26" fillId="31" borderId="0" xfId="0" applyNumberFormat="1" applyFont="1" applyFill="1" applyAlignment="1">
      <alignment horizontal="center" vertical="center" wrapText="1"/>
    </xf>
    <xf numFmtId="0" fontId="26" fillId="31" borderId="0" xfId="0" applyFont="1" applyFill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49" fontId="1" fillId="37" borderId="0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9" fillId="31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26" fillId="37" borderId="14" xfId="0" applyFont="1" applyFill="1" applyBorder="1" applyAlignment="1" applyProtection="1">
      <alignment horizontal="center" vertical="center"/>
      <protection locked="0"/>
    </xf>
    <xf numFmtId="3" fontId="26" fillId="37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3" fontId="21" fillId="31" borderId="14" xfId="0" applyNumberFormat="1" applyFont="1" applyFill="1" applyBorder="1" applyAlignment="1" applyProtection="1">
      <alignment horizontal="center" vertical="center"/>
      <protection locked="0"/>
    </xf>
    <xf numFmtId="0" fontId="26" fillId="37" borderId="14" xfId="0" applyFont="1" applyFill="1" applyBorder="1" applyAlignment="1" applyProtection="1">
      <alignment horizontal="center" vertical="center" wrapText="1"/>
      <protection locked="0"/>
    </xf>
    <xf numFmtId="3" fontId="2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3" fontId="21" fillId="31" borderId="14" xfId="0" applyNumberFormat="1" applyFont="1" applyFill="1" applyBorder="1" applyAlignment="1" applyProtection="1">
      <alignment horizontal="center" vertical="center" wrapText="1"/>
      <protection locked="0"/>
    </xf>
    <xf numFmtId="189" fontId="26" fillId="37" borderId="14" xfId="0" applyNumberFormat="1" applyFont="1" applyFill="1" applyBorder="1" applyAlignment="1" applyProtection="1">
      <alignment horizontal="center" vertical="center" wrapText="1"/>
      <protection locked="0"/>
    </xf>
    <xf numFmtId="2" fontId="21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7" borderId="14" xfId="0" applyFont="1" applyFill="1" applyBorder="1" applyAlignment="1" applyProtection="1">
      <alignment horizontal="center" vertical="center" wrapText="1"/>
      <protection locked="0"/>
    </xf>
    <xf numFmtId="3" fontId="21" fillId="37" borderId="14" xfId="0" applyNumberFormat="1" applyFont="1" applyFill="1" applyBorder="1" applyAlignment="1" applyProtection="1">
      <alignment horizontal="center" vertical="center"/>
      <protection locked="0"/>
    </xf>
    <xf numFmtId="0" fontId="21" fillId="31" borderId="14" xfId="0" applyFont="1" applyFill="1" applyBorder="1" applyAlignment="1" applyProtection="1">
      <alignment horizontal="center" vertical="center" wrapText="1"/>
      <protection locked="0"/>
    </xf>
    <xf numFmtId="0" fontId="21" fillId="31" borderId="14" xfId="0" applyFont="1" applyFill="1" applyBorder="1" applyAlignment="1" applyProtection="1">
      <alignment horizontal="center" vertical="center"/>
      <protection locked="0"/>
    </xf>
    <xf numFmtId="0" fontId="26" fillId="38" borderId="14" xfId="0" applyFont="1" applyFill="1" applyBorder="1" applyAlignment="1" applyProtection="1">
      <alignment horizontal="center" vertical="center" wrapText="1"/>
      <protection locked="0"/>
    </xf>
    <xf numFmtId="3" fontId="26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21" fillId="31" borderId="14" xfId="0" applyNumberFormat="1" applyFont="1" applyFill="1" applyBorder="1" applyAlignment="1" applyProtection="1">
      <alignment horizontal="center" vertical="center" wrapText="1"/>
      <protection locked="0"/>
    </xf>
    <xf numFmtId="2" fontId="21" fillId="31" borderId="14" xfId="0" applyNumberFormat="1" applyFont="1" applyFill="1" applyBorder="1" applyAlignment="1" applyProtection="1">
      <alignment horizontal="center" vertical="center"/>
      <protection locked="0"/>
    </xf>
    <xf numFmtId="189" fontId="21" fillId="31" borderId="14" xfId="0" applyNumberFormat="1" applyFont="1" applyFill="1" applyBorder="1" applyAlignment="1" applyProtection="1">
      <alignment horizontal="center" vertical="center"/>
      <protection locked="0"/>
    </xf>
    <xf numFmtId="3" fontId="26" fillId="38" borderId="14" xfId="0" applyNumberFormat="1" applyFont="1" applyFill="1" applyBorder="1" applyAlignment="1" applyProtection="1">
      <alignment horizontal="center" vertical="center"/>
      <protection locked="0"/>
    </xf>
    <xf numFmtId="2" fontId="26" fillId="37" borderId="14" xfId="0" applyNumberFormat="1" applyFont="1" applyFill="1" applyBorder="1" applyAlignment="1" applyProtection="1">
      <alignment horizontal="center" vertical="center" wrapText="1"/>
      <protection locked="0"/>
    </xf>
    <xf numFmtId="1" fontId="2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31" borderId="14" xfId="0" applyFont="1" applyFill="1" applyBorder="1" applyAlignment="1" applyProtection="1">
      <alignment horizontal="center" vertical="center" wrapText="1"/>
      <protection locked="0"/>
    </xf>
    <xf numFmtId="3" fontId="26" fillId="31" borderId="14" xfId="0" applyNumberFormat="1" applyFont="1" applyFill="1" applyBorder="1" applyAlignment="1" applyProtection="1">
      <alignment horizontal="center" vertical="center" wrapText="1"/>
      <protection locked="0"/>
    </xf>
    <xf numFmtId="1" fontId="26" fillId="37" borderId="14" xfId="0" applyNumberFormat="1" applyFont="1" applyFill="1" applyBorder="1" applyAlignment="1" applyProtection="1">
      <alignment horizontal="center" vertical="center"/>
      <protection locked="0"/>
    </xf>
    <xf numFmtId="1" fontId="21" fillId="31" borderId="14" xfId="0" applyNumberFormat="1" applyFont="1" applyFill="1" applyBorder="1" applyAlignment="1" applyProtection="1">
      <alignment horizontal="center" vertical="center"/>
      <protection locked="0"/>
    </xf>
    <xf numFmtId="0" fontId="21" fillId="38" borderId="14" xfId="0" applyFont="1" applyFill="1" applyBorder="1" applyAlignment="1" applyProtection="1">
      <alignment horizontal="center" vertical="center" wrapText="1"/>
      <protection locked="0"/>
    </xf>
    <xf numFmtId="3" fontId="21" fillId="38" borderId="14" xfId="0" applyNumberFormat="1" applyFont="1" applyFill="1" applyBorder="1" applyAlignment="1" applyProtection="1">
      <alignment horizontal="center" vertical="center"/>
      <protection locked="0"/>
    </xf>
    <xf numFmtId="0" fontId="26" fillId="37" borderId="18" xfId="0" applyFont="1" applyFill="1" applyBorder="1" applyAlignment="1" applyProtection="1">
      <alignment horizontal="center" vertical="center" wrapText="1"/>
      <protection locked="0"/>
    </xf>
    <xf numFmtId="3" fontId="26" fillId="37" borderId="18" xfId="0" applyNumberFormat="1" applyFont="1" applyFill="1" applyBorder="1" applyAlignment="1" applyProtection="1">
      <alignment horizontal="center" vertical="center"/>
      <protection locked="0"/>
    </xf>
    <xf numFmtId="4" fontId="21" fillId="37" borderId="14" xfId="0" applyNumberFormat="1" applyFont="1" applyFill="1" applyBorder="1" applyAlignment="1" applyProtection="1">
      <alignment horizontal="center" vertical="center" wrapText="1"/>
      <protection locked="0"/>
    </xf>
    <xf numFmtId="1" fontId="21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2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1" fontId="2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1" fontId="2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6" fillId="37" borderId="17" xfId="0" applyFont="1" applyFill="1" applyBorder="1" applyAlignment="1" applyProtection="1">
      <alignment horizontal="center" vertical="center" wrapText="1"/>
      <protection locked="0"/>
    </xf>
    <xf numFmtId="3" fontId="26" fillId="37" borderId="46" xfId="0" applyNumberFormat="1" applyFont="1" applyFill="1" applyBorder="1" applyAlignment="1" applyProtection="1">
      <alignment horizontal="center" vertical="center" wrapText="1"/>
      <protection locked="0"/>
    </xf>
    <xf numFmtId="3" fontId="21" fillId="31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3" fontId="21" fillId="31" borderId="47" xfId="0" applyNumberFormat="1" applyFont="1" applyFill="1" applyBorder="1" applyAlignment="1" applyProtection="1">
      <alignment horizontal="center" vertical="center"/>
      <protection locked="0"/>
    </xf>
    <xf numFmtId="0" fontId="26" fillId="37" borderId="16" xfId="0" applyFont="1" applyFill="1" applyBorder="1" applyAlignment="1" applyProtection="1">
      <alignment horizontal="center" vertical="center" wrapText="1"/>
      <protection locked="0"/>
    </xf>
    <xf numFmtId="3" fontId="26" fillId="37" borderId="48" xfId="0" applyNumberFormat="1" applyFont="1" applyFill="1" applyBorder="1" applyAlignment="1" applyProtection="1">
      <alignment horizontal="center" vertical="center" wrapText="1"/>
      <protection locked="0"/>
    </xf>
    <xf numFmtId="0" fontId="21" fillId="31" borderId="19" xfId="0" applyFont="1" applyFill="1" applyBorder="1" applyAlignment="1" applyProtection="1">
      <alignment horizontal="center" vertical="center"/>
      <protection locked="0"/>
    </xf>
    <xf numFmtId="1" fontId="21" fillId="31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3" fontId="26" fillId="31" borderId="48" xfId="0" applyNumberFormat="1" applyFont="1" applyFill="1" applyBorder="1" applyAlignment="1" applyProtection="1">
      <alignment horizontal="center" vertical="center" wrapText="1"/>
      <protection locked="0"/>
    </xf>
    <xf numFmtId="0" fontId="21" fillId="30" borderId="14" xfId="0" applyFont="1" applyFill="1" applyBorder="1" applyAlignment="1" applyProtection="1">
      <alignment horizontal="center" vertical="center"/>
      <protection locked="0"/>
    </xf>
    <xf numFmtId="0" fontId="26" fillId="37" borderId="29" xfId="0" applyFont="1" applyFill="1" applyBorder="1" applyAlignment="1" applyProtection="1">
      <alignment horizontal="center" vertical="center"/>
      <protection locked="0"/>
    </xf>
    <xf numFmtId="3" fontId="26" fillId="37" borderId="49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3" fontId="21" fillId="31" borderId="48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3" fontId="21" fillId="31" borderId="46" xfId="0" applyNumberFormat="1" applyFont="1" applyFill="1" applyBorder="1" applyAlignment="1" applyProtection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 vertical="center"/>
      <protection locked="0"/>
    </xf>
    <xf numFmtId="3" fontId="21" fillId="37" borderId="46" xfId="0" applyNumberFormat="1" applyFont="1" applyFill="1" applyBorder="1" applyAlignment="1" applyProtection="1">
      <alignment horizontal="center" vertical="center"/>
      <protection locked="0"/>
    </xf>
    <xf numFmtId="0" fontId="21" fillId="37" borderId="14" xfId="0" applyFont="1" applyFill="1" applyBorder="1" applyAlignment="1" applyProtection="1">
      <alignment horizontal="center" vertical="center"/>
      <protection locked="0"/>
    </xf>
    <xf numFmtId="0" fontId="21" fillId="37" borderId="17" xfId="0" applyFont="1" applyFill="1" applyBorder="1" applyAlignment="1" applyProtection="1">
      <alignment horizontal="center" vertical="center" wrapText="1"/>
      <protection locked="0"/>
    </xf>
    <xf numFmtId="4" fontId="26" fillId="37" borderId="29" xfId="0" applyNumberFormat="1" applyFont="1" applyFill="1" applyBorder="1" applyAlignment="1" applyProtection="1">
      <alignment horizontal="center" vertical="center"/>
      <protection locked="0"/>
    </xf>
    <xf numFmtId="0" fontId="21" fillId="37" borderId="16" xfId="0" applyFont="1" applyFill="1" applyBorder="1" applyAlignment="1" applyProtection="1">
      <alignment horizontal="center" vertical="center" wrapText="1"/>
      <protection locked="0"/>
    </xf>
    <xf numFmtId="3" fontId="26" fillId="37" borderId="48" xfId="0" applyNumberFormat="1" applyFont="1" applyFill="1" applyBorder="1" applyAlignment="1" applyProtection="1">
      <alignment horizontal="center" vertical="center"/>
      <protection locked="0"/>
    </xf>
    <xf numFmtId="3" fontId="21" fillId="37" borderId="20" xfId="0" applyNumberFormat="1" applyFont="1" applyFill="1" applyBorder="1" applyAlignment="1" applyProtection="1">
      <alignment horizontal="center" vertical="center"/>
      <protection locked="0"/>
    </xf>
    <xf numFmtId="3" fontId="26" fillId="37" borderId="20" xfId="0" applyNumberFormat="1" applyFont="1" applyFill="1" applyBorder="1" applyAlignment="1" applyProtection="1">
      <alignment horizontal="center" vertical="center"/>
      <protection locked="0"/>
    </xf>
    <xf numFmtId="0" fontId="26" fillId="37" borderId="19" xfId="0" applyFont="1" applyFill="1" applyBorder="1" applyAlignment="1" applyProtection="1">
      <alignment horizontal="center" vertical="center" wrapText="1"/>
      <protection locked="0"/>
    </xf>
    <xf numFmtId="3" fontId="26" fillId="37" borderId="47" xfId="0" applyNumberFormat="1" applyFont="1" applyFill="1" applyBorder="1" applyAlignment="1" applyProtection="1">
      <alignment horizontal="center" vertical="center"/>
      <protection locked="0"/>
    </xf>
    <xf numFmtId="4" fontId="26" fillId="37" borderId="14" xfId="0" applyNumberFormat="1" applyFont="1" applyFill="1" applyBorder="1" applyAlignment="1" applyProtection="1">
      <alignment horizontal="center" vertical="center"/>
      <protection locked="0"/>
    </xf>
    <xf numFmtId="1" fontId="21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21" fillId="38" borderId="14" xfId="0" applyNumberFormat="1" applyFont="1" applyFill="1" applyBorder="1" applyAlignment="1" applyProtection="1">
      <alignment horizontal="center" vertical="center"/>
      <protection locked="0"/>
    </xf>
    <xf numFmtId="1" fontId="21" fillId="37" borderId="14" xfId="0" applyNumberFormat="1" applyFont="1" applyFill="1" applyBorder="1" applyAlignment="1" applyProtection="1">
      <alignment horizontal="center" vertical="center"/>
      <protection locked="0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3" fontId="21" fillId="38" borderId="14" xfId="0" applyNumberFormat="1" applyFont="1" applyFill="1" applyBorder="1" applyAlignment="1" applyProtection="1">
      <alignment horizontal="center" vertical="center" wrapText="1"/>
      <protection locked="0"/>
    </xf>
    <xf numFmtId="3" fontId="21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37" borderId="14" xfId="0" applyNumberFormat="1" applyFont="1" applyFill="1" applyBorder="1" applyAlignment="1" applyProtection="1">
      <alignment horizontal="center" vertical="center"/>
      <protection locked="0"/>
    </xf>
    <xf numFmtId="1" fontId="37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21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7" borderId="18" xfId="0" applyFont="1" applyFill="1" applyBorder="1" applyAlignment="1" applyProtection="1">
      <alignment horizontal="center" vertical="center" wrapText="1"/>
      <protection locked="0"/>
    </xf>
    <xf numFmtId="1" fontId="21" fillId="37" borderId="50" xfId="0" applyNumberFormat="1" applyFont="1" applyFill="1" applyBorder="1" applyAlignment="1" applyProtection="1">
      <alignment horizontal="center" vertical="center" wrapText="1"/>
      <protection locked="0"/>
    </xf>
    <xf numFmtId="0" fontId="29" fillId="37" borderId="14" xfId="0" applyFont="1" applyFill="1" applyBorder="1" applyAlignment="1" applyProtection="1">
      <alignment horizontal="center" vertical="center"/>
      <protection locked="0"/>
    </xf>
    <xf numFmtId="1" fontId="29" fillId="37" borderId="14" xfId="0" applyNumberFormat="1" applyFont="1" applyFill="1" applyBorder="1" applyAlignment="1" applyProtection="1">
      <alignment horizontal="center" vertical="center"/>
      <protection locked="0"/>
    </xf>
    <xf numFmtId="0" fontId="29" fillId="38" borderId="14" xfId="0" applyFont="1" applyFill="1" applyBorder="1" applyAlignment="1" applyProtection="1">
      <alignment horizontal="center" vertical="center"/>
      <protection locked="0"/>
    </xf>
    <xf numFmtId="1" fontId="29" fillId="38" borderId="14" xfId="0" applyNumberFormat="1" applyFont="1" applyFill="1" applyBorder="1" applyAlignment="1" applyProtection="1">
      <alignment horizontal="center" vertical="center"/>
      <protection locked="0"/>
    </xf>
    <xf numFmtId="1" fontId="37" fillId="38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1" fontId="0" fillId="37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14" fillId="37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Border="1" applyAlignment="1" applyProtection="1">
      <alignment horizontal="center" vertical="center" wrapText="1"/>
      <protection locked="0"/>
    </xf>
    <xf numFmtId="189" fontId="21" fillId="31" borderId="14" xfId="0" applyNumberFormat="1" applyFont="1" applyFill="1" applyBorder="1" applyAlignment="1" applyProtection="1">
      <alignment horizontal="center" vertical="center" wrapText="1"/>
      <protection locked="0"/>
    </xf>
    <xf numFmtId="2" fontId="21" fillId="37" borderId="14" xfId="0" applyNumberFormat="1" applyFont="1" applyFill="1" applyBorder="1" applyAlignment="1" applyProtection="1">
      <alignment horizontal="left" vertical="center" wrapText="1"/>
      <protection locked="0"/>
    </xf>
    <xf numFmtId="1" fontId="22" fillId="37" borderId="14" xfId="0" applyNumberFormat="1" applyFont="1" applyFill="1" applyBorder="1" applyAlignment="1" applyProtection="1">
      <alignment horizontal="center" vertical="center" wrapText="1"/>
      <protection locked="0"/>
    </xf>
    <xf numFmtId="1" fontId="25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31" borderId="19" xfId="0" applyFont="1" applyFill="1" applyBorder="1" applyAlignment="1" applyProtection="1">
      <alignment horizontal="center" vertical="center" wrapText="1"/>
      <protection locked="0"/>
    </xf>
    <xf numFmtId="3" fontId="21" fillId="31" borderId="47" xfId="0" applyNumberFormat="1" applyFont="1" applyFill="1" applyBorder="1" applyAlignment="1" applyProtection="1">
      <alignment horizontal="center" vertical="center" wrapText="1"/>
      <protection locked="0"/>
    </xf>
    <xf numFmtId="1" fontId="26" fillId="37" borderId="48" xfId="0" applyNumberFormat="1" applyFont="1" applyFill="1" applyBorder="1" applyAlignment="1" applyProtection="1">
      <alignment horizontal="center" vertical="center" wrapText="1"/>
      <protection locked="0"/>
    </xf>
    <xf numFmtId="1" fontId="21" fillId="31" borderId="20" xfId="0" applyNumberFormat="1" applyFont="1" applyFill="1" applyBorder="1" applyAlignment="1" applyProtection="1">
      <alignment horizontal="center" vertical="center" wrapText="1"/>
      <protection locked="0"/>
    </xf>
    <xf numFmtId="1" fontId="21" fillId="31" borderId="47" xfId="0" applyNumberFormat="1" applyFont="1" applyFill="1" applyBorder="1" applyAlignment="1" applyProtection="1">
      <alignment horizontal="center" vertical="center" wrapText="1"/>
      <protection locked="0"/>
    </xf>
    <xf numFmtId="3" fontId="21" fillId="31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31" borderId="17" xfId="0" applyFont="1" applyFill="1" applyBorder="1" applyAlignment="1" applyProtection="1">
      <alignment horizontal="center" vertical="center"/>
      <protection locked="0"/>
    </xf>
    <xf numFmtId="0" fontId="21" fillId="31" borderId="18" xfId="0" applyFont="1" applyFill="1" applyBorder="1" applyAlignment="1" applyProtection="1">
      <alignment horizontal="center" vertical="center"/>
      <protection locked="0"/>
    </xf>
    <xf numFmtId="0" fontId="26" fillId="31" borderId="18" xfId="0" applyFont="1" applyFill="1" applyBorder="1" applyAlignment="1" applyProtection="1">
      <alignment horizontal="center" vertical="center" wrapText="1"/>
      <protection locked="0"/>
    </xf>
    <xf numFmtId="1" fontId="26" fillId="31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37" borderId="17" xfId="0" applyFont="1" applyFill="1" applyBorder="1" applyAlignment="1" applyProtection="1">
      <alignment horizontal="center" vertical="center"/>
      <protection locked="0"/>
    </xf>
    <xf numFmtId="3" fontId="26" fillId="37" borderId="17" xfId="0" applyNumberFormat="1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41" fillId="37" borderId="0" xfId="0" applyFont="1" applyFill="1" applyBorder="1" applyAlignment="1" applyProtection="1">
      <alignment vertical="center" wrapText="1"/>
      <protection locked="0"/>
    </xf>
    <xf numFmtId="0" fontId="41" fillId="31" borderId="0" xfId="0" applyFont="1" applyFill="1" applyBorder="1" applyAlignment="1" applyProtection="1">
      <alignment horizontal="center" vertical="center" wrapText="1"/>
      <protection locked="0"/>
    </xf>
    <xf numFmtId="0" fontId="41" fillId="31" borderId="14" xfId="0" applyFont="1" applyFill="1" applyBorder="1" applyAlignment="1" applyProtection="1">
      <alignment horizontal="center" vertical="center" wrapText="1"/>
      <protection locked="0"/>
    </xf>
    <xf numFmtId="3" fontId="41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7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421875" style="0" customWidth="1"/>
    <col min="2" max="2" width="40.57421875" style="0" customWidth="1"/>
    <col min="3" max="3" width="7.7109375" style="0" customWidth="1"/>
    <col min="4" max="4" width="7.8515625" style="0" customWidth="1"/>
    <col min="5" max="5" width="8.7109375" style="0" customWidth="1"/>
    <col min="6" max="6" width="9.140625" style="0" customWidth="1"/>
    <col min="7" max="7" width="11.57421875" style="0" customWidth="1"/>
  </cols>
  <sheetData>
    <row r="1" spans="1:7" ht="47.25" customHeight="1">
      <c r="A1" s="457" t="s">
        <v>824</v>
      </c>
      <c r="B1" s="458"/>
      <c r="C1" s="458"/>
      <c r="D1" s="458"/>
      <c r="E1" s="458"/>
      <c r="F1" s="458"/>
      <c r="G1" s="458"/>
    </row>
    <row r="2" spans="1:7" ht="16.5" customHeight="1">
      <c r="A2" s="459" t="s">
        <v>643</v>
      </c>
      <c r="B2" s="459"/>
      <c r="C2" s="459"/>
      <c r="D2" s="459"/>
      <c r="E2" s="459"/>
      <c r="F2" s="459"/>
      <c r="G2" s="459"/>
    </row>
    <row r="3" spans="1:7" ht="30" customHeight="1">
      <c r="A3" s="458" t="s">
        <v>834</v>
      </c>
      <c r="B3" s="458"/>
      <c r="C3" s="458"/>
      <c r="D3" s="458"/>
      <c r="E3" s="458"/>
      <c r="F3" s="458"/>
      <c r="G3" s="458"/>
    </row>
    <row r="4" spans="1:7" ht="27.75" customHeight="1">
      <c r="A4" s="461" t="s">
        <v>46</v>
      </c>
      <c r="B4" s="462" t="s">
        <v>47</v>
      </c>
      <c r="C4" s="463" t="s">
        <v>45</v>
      </c>
      <c r="D4" s="464" t="s">
        <v>48</v>
      </c>
      <c r="E4" s="464"/>
      <c r="F4" s="465" t="s">
        <v>41</v>
      </c>
      <c r="G4" s="465"/>
    </row>
    <row r="5" spans="1:7" ht="48.75" customHeight="1">
      <c r="A5" s="461"/>
      <c r="B5" s="462"/>
      <c r="C5" s="463"/>
      <c r="D5" s="340" t="s">
        <v>49</v>
      </c>
      <c r="E5" s="340" t="s">
        <v>50</v>
      </c>
      <c r="F5" s="95" t="s">
        <v>49</v>
      </c>
      <c r="G5" s="304" t="s">
        <v>50</v>
      </c>
    </row>
    <row r="6" spans="1:7" ht="13.5">
      <c r="A6" s="198" t="s">
        <v>51</v>
      </c>
      <c r="B6" s="133">
        <v>3</v>
      </c>
      <c r="C6" s="133">
        <v>4</v>
      </c>
      <c r="D6" s="133">
        <v>5</v>
      </c>
      <c r="E6" s="133">
        <v>6</v>
      </c>
      <c r="F6" s="248">
        <v>7</v>
      </c>
      <c r="G6" s="234">
        <v>8</v>
      </c>
    </row>
    <row r="7" spans="1:7" s="30" customFormat="1" ht="47.25" customHeight="1">
      <c r="A7" s="234">
        <v>1</v>
      </c>
      <c r="B7" s="133" t="s">
        <v>715</v>
      </c>
      <c r="C7" s="199" t="s">
        <v>74</v>
      </c>
      <c r="D7" s="199"/>
      <c r="E7" s="403">
        <v>71.8</v>
      </c>
      <c r="F7" s="506"/>
      <c r="G7" s="507"/>
    </row>
    <row r="8" spans="1:7" s="30" customFormat="1" ht="24.75" customHeight="1">
      <c r="A8" s="104"/>
      <c r="B8" s="91" t="s">
        <v>617</v>
      </c>
      <c r="C8" s="113" t="s">
        <v>44</v>
      </c>
      <c r="D8" s="113">
        <v>0.887</v>
      </c>
      <c r="E8" s="122">
        <f>D8*E7</f>
        <v>63.6866</v>
      </c>
      <c r="F8" s="508"/>
      <c r="G8" s="509"/>
    </row>
    <row r="9" spans="1:7" s="30" customFormat="1" ht="24.75" customHeight="1">
      <c r="A9" s="104"/>
      <c r="B9" s="91" t="s">
        <v>90</v>
      </c>
      <c r="C9" s="113" t="s">
        <v>54</v>
      </c>
      <c r="D9" s="113">
        <v>0.0984</v>
      </c>
      <c r="E9" s="122">
        <f>D9*E7</f>
        <v>7.065119999999999</v>
      </c>
      <c r="F9" s="508"/>
      <c r="G9" s="509"/>
    </row>
    <row r="10" spans="1:7" s="30" customFormat="1" ht="45" customHeight="1">
      <c r="A10" s="198" t="s">
        <v>67</v>
      </c>
      <c r="B10" s="133" t="s">
        <v>716</v>
      </c>
      <c r="C10" s="133" t="s">
        <v>74</v>
      </c>
      <c r="D10" s="133"/>
      <c r="E10" s="351">
        <v>39.3</v>
      </c>
      <c r="F10" s="510"/>
      <c r="G10" s="511"/>
    </row>
    <row r="11" spans="1:7" s="30" customFormat="1" ht="22.5" customHeight="1">
      <c r="A11" s="104"/>
      <c r="B11" s="91" t="s">
        <v>617</v>
      </c>
      <c r="C11" s="113" t="s">
        <v>44</v>
      </c>
      <c r="D11" s="113">
        <v>0.887</v>
      </c>
      <c r="E11" s="122">
        <f>D11*E10</f>
        <v>34.8591</v>
      </c>
      <c r="F11" s="508"/>
      <c r="G11" s="509"/>
    </row>
    <row r="12" spans="1:7" s="30" customFormat="1" ht="20.25" customHeight="1">
      <c r="A12" s="104"/>
      <c r="B12" s="91" t="s">
        <v>90</v>
      </c>
      <c r="C12" s="113" t="s">
        <v>54</v>
      </c>
      <c r="D12" s="113">
        <v>0.0984</v>
      </c>
      <c r="E12" s="122">
        <f>D12*E10</f>
        <v>3.86712</v>
      </c>
      <c r="F12" s="508"/>
      <c r="G12" s="509"/>
    </row>
    <row r="13" spans="1:7" s="30" customFormat="1" ht="36" customHeight="1">
      <c r="A13" s="198" t="s">
        <v>112</v>
      </c>
      <c r="B13" s="133" t="s">
        <v>712</v>
      </c>
      <c r="C13" s="133" t="s">
        <v>713</v>
      </c>
      <c r="D13" s="133"/>
      <c r="E13" s="399">
        <v>1</v>
      </c>
      <c r="F13" s="510"/>
      <c r="G13" s="511"/>
    </row>
    <row r="14" spans="1:7" s="30" customFormat="1" ht="26.25" customHeight="1">
      <c r="A14" s="104"/>
      <c r="B14" s="91" t="s">
        <v>617</v>
      </c>
      <c r="C14" s="113" t="s">
        <v>713</v>
      </c>
      <c r="D14" s="113">
        <v>1</v>
      </c>
      <c r="E14" s="191">
        <f>D14*E13</f>
        <v>1</v>
      </c>
      <c r="F14" s="508"/>
      <c r="G14" s="509"/>
    </row>
    <row r="15" spans="1:7" s="30" customFormat="1" ht="37.5" customHeight="1">
      <c r="A15" s="198" t="s">
        <v>113</v>
      </c>
      <c r="B15" s="133" t="s">
        <v>717</v>
      </c>
      <c r="C15" s="133" t="s">
        <v>713</v>
      </c>
      <c r="D15" s="133"/>
      <c r="E15" s="399">
        <v>1</v>
      </c>
      <c r="F15" s="510"/>
      <c r="G15" s="511"/>
    </row>
    <row r="16" spans="1:7" s="30" customFormat="1" ht="28.5" customHeight="1">
      <c r="A16" s="104"/>
      <c r="B16" s="91" t="s">
        <v>617</v>
      </c>
      <c r="C16" s="113" t="s">
        <v>713</v>
      </c>
      <c r="D16" s="113">
        <v>1</v>
      </c>
      <c r="E16" s="191">
        <f>D16*E15</f>
        <v>1</v>
      </c>
      <c r="F16" s="508"/>
      <c r="G16" s="509"/>
    </row>
    <row r="17" spans="1:7" s="30" customFormat="1" ht="40.5" customHeight="1">
      <c r="A17" s="198" t="s">
        <v>71</v>
      </c>
      <c r="B17" s="133" t="s">
        <v>835</v>
      </c>
      <c r="C17" s="133" t="s">
        <v>713</v>
      </c>
      <c r="D17" s="133"/>
      <c r="E17" s="399">
        <v>1</v>
      </c>
      <c r="F17" s="510"/>
      <c r="G17" s="511"/>
    </row>
    <row r="18" spans="1:7" s="30" customFormat="1" ht="25.5" customHeight="1">
      <c r="A18" s="104"/>
      <c r="B18" s="91" t="s">
        <v>58</v>
      </c>
      <c r="C18" s="113" t="s">
        <v>713</v>
      </c>
      <c r="D18" s="113">
        <v>1</v>
      </c>
      <c r="E18" s="122">
        <f>D18*E17</f>
        <v>1</v>
      </c>
      <c r="F18" s="508"/>
      <c r="G18" s="509"/>
    </row>
    <row r="19" spans="1:7" s="30" customFormat="1" ht="47.25" customHeight="1">
      <c r="A19" s="234">
        <v>6</v>
      </c>
      <c r="B19" s="133" t="s">
        <v>718</v>
      </c>
      <c r="C19" s="414" t="s">
        <v>77</v>
      </c>
      <c r="D19" s="199"/>
      <c r="E19" s="403">
        <v>192</v>
      </c>
      <c r="F19" s="506"/>
      <c r="G19" s="507"/>
    </row>
    <row r="20" spans="1:7" s="30" customFormat="1" ht="21" customHeight="1">
      <c r="A20" s="104"/>
      <c r="B20" s="91" t="s">
        <v>58</v>
      </c>
      <c r="C20" s="113" t="s">
        <v>44</v>
      </c>
      <c r="D20" s="113">
        <v>0.289</v>
      </c>
      <c r="E20" s="122">
        <f>D20*E19</f>
        <v>55.488</v>
      </c>
      <c r="F20" s="508"/>
      <c r="G20" s="509"/>
    </row>
    <row r="21" spans="1:7" s="30" customFormat="1" ht="21" customHeight="1">
      <c r="A21" s="104"/>
      <c r="B21" s="91" t="s">
        <v>90</v>
      </c>
      <c r="C21" s="113" t="s">
        <v>54</v>
      </c>
      <c r="D21" s="113">
        <v>0.0628</v>
      </c>
      <c r="E21" s="122">
        <f>D21*E19</f>
        <v>12.057599999999999</v>
      </c>
      <c r="F21" s="508"/>
      <c r="G21" s="509"/>
    </row>
    <row r="22" spans="1:7" s="30" customFormat="1" ht="59.25" customHeight="1">
      <c r="A22" s="234">
        <v>7</v>
      </c>
      <c r="B22" s="133" t="s">
        <v>719</v>
      </c>
      <c r="C22" s="199" t="s">
        <v>74</v>
      </c>
      <c r="D22" s="199"/>
      <c r="E22" s="403">
        <v>365</v>
      </c>
      <c r="F22" s="506"/>
      <c r="G22" s="507"/>
    </row>
    <row r="23" spans="1:7" s="30" customFormat="1" ht="20.25" customHeight="1">
      <c r="A23" s="104"/>
      <c r="B23" s="91" t="s">
        <v>617</v>
      </c>
      <c r="C23" s="113" t="s">
        <v>44</v>
      </c>
      <c r="D23" s="113">
        <v>0.516</v>
      </c>
      <c r="E23" s="122">
        <f>D23*E22</f>
        <v>188.34</v>
      </c>
      <c r="F23" s="508"/>
      <c r="G23" s="509"/>
    </row>
    <row r="24" spans="1:7" s="30" customFormat="1" ht="21.75" customHeight="1">
      <c r="A24" s="104"/>
      <c r="B24" s="91" t="s">
        <v>90</v>
      </c>
      <c r="C24" s="113" t="s">
        <v>54</v>
      </c>
      <c r="D24" s="113">
        <v>0.104</v>
      </c>
      <c r="E24" s="122">
        <f>D24*E22</f>
        <v>37.96</v>
      </c>
      <c r="F24" s="508"/>
      <c r="G24" s="509"/>
    </row>
    <row r="25" spans="1:7" s="30" customFormat="1" ht="62.25" customHeight="1">
      <c r="A25" s="234">
        <v>8</v>
      </c>
      <c r="B25" s="133" t="s">
        <v>729</v>
      </c>
      <c r="C25" s="415" t="s">
        <v>644</v>
      </c>
      <c r="D25" s="199"/>
      <c r="E25" s="403">
        <v>2035</v>
      </c>
      <c r="F25" s="506"/>
      <c r="G25" s="507"/>
    </row>
    <row r="26" spans="1:7" s="30" customFormat="1" ht="23.25" customHeight="1">
      <c r="A26" s="104"/>
      <c r="B26" s="91" t="s">
        <v>617</v>
      </c>
      <c r="C26" s="113" t="s">
        <v>44</v>
      </c>
      <c r="D26" s="113">
        <v>0.61</v>
      </c>
      <c r="E26" s="122">
        <f>D26*E25</f>
        <v>1241.35</v>
      </c>
      <c r="F26" s="508"/>
      <c r="G26" s="509"/>
    </row>
    <row r="27" spans="1:7" s="30" customFormat="1" ht="24" customHeight="1">
      <c r="A27" s="104"/>
      <c r="B27" s="91" t="s">
        <v>90</v>
      </c>
      <c r="C27" s="113" t="s">
        <v>54</v>
      </c>
      <c r="D27" s="113">
        <v>0.317</v>
      </c>
      <c r="E27" s="122">
        <f>D27*E25</f>
        <v>645.095</v>
      </c>
      <c r="F27" s="508"/>
      <c r="G27" s="509"/>
    </row>
    <row r="28" spans="1:7" s="30" customFormat="1" ht="53.25" customHeight="1">
      <c r="A28" s="234">
        <v>9</v>
      </c>
      <c r="B28" s="133" t="s">
        <v>825</v>
      </c>
      <c r="C28" s="415" t="s">
        <v>644</v>
      </c>
      <c r="D28" s="199"/>
      <c r="E28" s="416">
        <v>450</v>
      </c>
      <c r="F28" s="506"/>
      <c r="G28" s="507"/>
    </row>
    <row r="29" spans="1:7" s="30" customFormat="1" ht="18.75" customHeight="1">
      <c r="A29" s="104"/>
      <c r="B29" s="91" t="s">
        <v>836</v>
      </c>
      <c r="C29" s="113" t="s">
        <v>44</v>
      </c>
      <c r="D29" s="113">
        <f>0.8*0.61</f>
        <v>0.488</v>
      </c>
      <c r="E29" s="122">
        <f>D29*E28</f>
        <v>219.6</v>
      </c>
      <c r="F29" s="508"/>
      <c r="G29" s="509"/>
    </row>
    <row r="30" spans="1:7" s="30" customFormat="1" ht="21" customHeight="1">
      <c r="A30" s="104"/>
      <c r="B30" s="91" t="s">
        <v>837</v>
      </c>
      <c r="C30" s="113" t="s">
        <v>54</v>
      </c>
      <c r="D30" s="113">
        <f>0.317*0.8</f>
        <v>0.2536</v>
      </c>
      <c r="E30" s="122">
        <f>D30*E28</f>
        <v>114.11999999999999</v>
      </c>
      <c r="F30" s="508"/>
      <c r="G30" s="509"/>
    </row>
    <row r="31" spans="1:7" s="30" customFormat="1" ht="42.75" customHeight="1">
      <c r="A31" s="198" t="s">
        <v>122</v>
      </c>
      <c r="B31" s="133" t="s">
        <v>723</v>
      </c>
      <c r="C31" s="133" t="s">
        <v>52</v>
      </c>
      <c r="D31" s="133"/>
      <c r="E31" s="242">
        <v>480</v>
      </c>
      <c r="F31" s="510"/>
      <c r="G31" s="511"/>
    </row>
    <row r="32" spans="1:7" s="30" customFormat="1" ht="27.75" customHeight="1">
      <c r="A32" s="181"/>
      <c r="B32" s="91" t="s">
        <v>720</v>
      </c>
      <c r="C32" s="91" t="s">
        <v>44</v>
      </c>
      <c r="D32" s="91">
        <v>0.0152</v>
      </c>
      <c r="E32" s="86">
        <f>D32*E31</f>
        <v>7.296</v>
      </c>
      <c r="F32" s="512"/>
      <c r="G32" s="513"/>
    </row>
    <row r="33" spans="1:7" s="30" customFormat="1" ht="20.25" customHeight="1">
      <c r="A33" s="181"/>
      <c r="B33" s="91" t="s">
        <v>721</v>
      </c>
      <c r="C33" s="87" t="s">
        <v>62</v>
      </c>
      <c r="D33" s="91">
        <f>1.15*0.0295</f>
        <v>0.033925</v>
      </c>
      <c r="E33" s="86">
        <f>D33*E31</f>
        <v>16.284</v>
      </c>
      <c r="F33" s="512"/>
      <c r="G33" s="513"/>
    </row>
    <row r="34" spans="1:7" s="30" customFormat="1" ht="24" customHeight="1">
      <c r="A34" s="181"/>
      <c r="B34" s="91" t="s">
        <v>722</v>
      </c>
      <c r="C34" s="87" t="s">
        <v>54</v>
      </c>
      <c r="D34" s="91">
        <f>1.15*0.0021</f>
        <v>0.0024149999999999996</v>
      </c>
      <c r="E34" s="86">
        <f>E31*D34</f>
        <v>1.1591999999999998</v>
      </c>
      <c r="F34" s="512"/>
      <c r="G34" s="513"/>
    </row>
    <row r="35" spans="1:7" s="30" customFormat="1" ht="54.75" customHeight="1">
      <c r="A35" s="198" t="s">
        <v>152</v>
      </c>
      <c r="B35" s="133" t="s">
        <v>724</v>
      </c>
      <c r="C35" s="133" t="s">
        <v>52</v>
      </c>
      <c r="D35" s="133"/>
      <c r="E35" s="351">
        <v>252</v>
      </c>
      <c r="F35" s="510"/>
      <c r="G35" s="511"/>
    </row>
    <row r="36" spans="1:7" s="30" customFormat="1" ht="18.75" customHeight="1">
      <c r="A36" s="181"/>
      <c r="B36" s="91" t="s">
        <v>720</v>
      </c>
      <c r="C36" s="91" t="s">
        <v>44</v>
      </c>
      <c r="D36" s="91">
        <v>0.0152</v>
      </c>
      <c r="E36" s="86">
        <f>D36*E35</f>
        <v>3.8304</v>
      </c>
      <c r="F36" s="512"/>
      <c r="G36" s="513"/>
    </row>
    <row r="37" spans="1:7" s="30" customFormat="1" ht="21" customHeight="1">
      <c r="A37" s="181"/>
      <c r="B37" s="91" t="s">
        <v>721</v>
      </c>
      <c r="C37" s="87" t="s">
        <v>62</v>
      </c>
      <c r="D37" s="91">
        <f>1.15*0.0295</f>
        <v>0.033925</v>
      </c>
      <c r="E37" s="86">
        <f>D37*E35</f>
        <v>8.5491</v>
      </c>
      <c r="F37" s="512"/>
      <c r="G37" s="513"/>
    </row>
    <row r="38" spans="1:7" s="30" customFormat="1" ht="19.5" customHeight="1">
      <c r="A38" s="181"/>
      <c r="B38" s="91" t="s">
        <v>722</v>
      </c>
      <c r="C38" s="87" t="s">
        <v>54</v>
      </c>
      <c r="D38" s="91">
        <f>1.15*0.0021</f>
        <v>0.0024149999999999996</v>
      </c>
      <c r="E38" s="86">
        <f>E35*D38</f>
        <v>0.6085799999999999</v>
      </c>
      <c r="F38" s="512"/>
      <c r="G38" s="513"/>
    </row>
    <row r="39" spans="1:7" s="30" customFormat="1" ht="35.25" customHeight="1">
      <c r="A39" s="234">
        <v>12</v>
      </c>
      <c r="B39" s="133" t="s">
        <v>711</v>
      </c>
      <c r="C39" s="133" t="s">
        <v>72</v>
      </c>
      <c r="D39" s="133"/>
      <c r="E39" s="351">
        <v>1460</v>
      </c>
      <c r="F39" s="514"/>
      <c r="G39" s="507"/>
    </row>
    <row r="40" spans="1:7" s="30" customFormat="1" ht="27.75" customHeight="1">
      <c r="A40" s="181"/>
      <c r="B40" s="91" t="s">
        <v>523</v>
      </c>
      <c r="C40" s="91" t="s">
        <v>72</v>
      </c>
      <c r="D40" s="91">
        <v>1</v>
      </c>
      <c r="E40" s="91">
        <f>E39*D40</f>
        <v>1460</v>
      </c>
      <c r="F40" s="515"/>
      <c r="G40" s="509"/>
    </row>
    <row r="41" spans="1:7" s="30" customFormat="1" ht="26.25" customHeight="1">
      <c r="A41" s="121"/>
      <c r="B41" s="133" t="s">
        <v>185</v>
      </c>
      <c r="C41" s="91" t="s">
        <v>54</v>
      </c>
      <c r="D41" s="91"/>
      <c r="E41" s="86"/>
      <c r="F41" s="516"/>
      <c r="G41" s="507"/>
    </row>
    <row r="42" spans="1:7" s="30" customFormat="1" ht="24.75" customHeight="1">
      <c r="A42" s="121"/>
      <c r="B42" s="91" t="s">
        <v>43</v>
      </c>
      <c r="C42" s="91" t="s">
        <v>54</v>
      </c>
      <c r="D42" s="91"/>
      <c r="E42" s="130">
        <v>0.1</v>
      </c>
      <c r="F42" s="516"/>
      <c r="G42" s="517"/>
    </row>
    <row r="43" spans="1:7" s="30" customFormat="1" ht="21" customHeight="1">
      <c r="A43" s="234"/>
      <c r="B43" s="133" t="s">
        <v>55</v>
      </c>
      <c r="C43" s="133" t="s">
        <v>54</v>
      </c>
      <c r="D43" s="133"/>
      <c r="E43" s="133"/>
      <c r="F43" s="510"/>
      <c r="G43" s="507"/>
    </row>
    <row r="44" spans="1:7" s="30" customFormat="1" ht="22.5" customHeight="1">
      <c r="A44" s="121"/>
      <c r="B44" s="91" t="s">
        <v>69</v>
      </c>
      <c r="C44" s="91" t="s">
        <v>54</v>
      </c>
      <c r="D44" s="91"/>
      <c r="E44" s="130">
        <v>0.08</v>
      </c>
      <c r="F44" s="516"/>
      <c r="G44" s="517"/>
    </row>
    <row r="45" spans="1:7" s="30" customFormat="1" ht="21.75" customHeight="1">
      <c r="A45" s="234"/>
      <c r="B45" s="133" t="s">
        <v>60</v>
      </c>
      <c r="C45" s="133" t="s">
        <v>54</v>
      </c>
      <c r="D45" s="133"/>
      <c r="E45" s="235"/>
      <c r="F45" s="510"/>
      <c r="G45" s="507"/>
    </row>
    <row r="46" spans="1:7" s="30" customFormat="1" ht="13.5">
      <c r="A46" s="285"/>
      <c r="B46" s="178"/>
      <c r="C46" s="178"/>
      <c r="D46" s="179"/>
      <c r="E46" s="260"/>
      <c r="F46" s="179"/>
      <c r="G46" s="209"/>
    </row>
    <row r="47" spans="1:7" s="30" customFormat="1" ht="3" customHeight="1">
      <c r="A47" s="285"/>
      <c r="B47" s="178"/>
      <c r="C47" s="178"/>
      <c r="D47" s="179"/>
      <c r="E47" s="260"/>
      <c r="F47" s="179"/>
      <c r="G47" s="209"/>
    </row>
    <row r="48" spans="1:7" s="30" customFormat="1" ht="13.5">
      <c r="A48" s="285"/>
      <c r="B48" s="178"/>
      <c r="C48" s="178"/>
      <c r="D48" s="179"/>
      <c r="E48" s="260"/>
      <c r="F48" s="179"/>
      <c r="G48" s="209"/>
    </row>
    <row r="49" spans="1:7" s="30" customFormat="1" ht="21.75" customHeight="1">
      <c r="A49" s="139"/>
      <c r="B49" s="456" t="s">
        <v>886</v>
      </c>
      <c r="C49" s="456"/>
      <c r="D49" s="456"/>
      <c r="E49" s="456"/>
      <c r="F49" s="456"/>
      <c r="G49" s="456"/>
    </row>
    <row r="50" spans="1:7" s="30" customFormat="1" ht="13.5">
      <c r="A50" s="285"/>
      <c r="B50" s="178"/>
      <c r="C50" s="178"/>
      <c r="D50" s="179"/>
      <c r="E50" s="260"/>
      <c r="F50" s="179"/>
      <c r="G50" s="209"/>
    </row>
    <row r="51" spans="1:7" s="398" customFormat="1" ht="18.75" customHeight="1">
      <c r="A51" s="177"/>
      <c r="B51" s="178"/>
      <c r="C51" s="265"/>
      <c r="D51" s="265"/>
      <c r="E51" s="263"/>
      <c r="F51" s="364"/>
      <c r="G51" s="266"/>
    </row>
    <row r="52" spans="1:7" s="398" customFormat="1" ht="13.5">
      <c r="A52" s="253"/>
      <c r="B52" s="179"/>
      <c r="C52" s="365"/>
      <c r="D52" s="273"/>
      <c r="E52" s="366"/>
      <c r="F52" s="273"/>
      <c r="G52" s="362"/>
    </row>
    <row r="53" spans="1:7" s="398" customFormat="1" ht="13.5">
      <c r="A53" s="177"/>
      <c r="B53" s="178"/>
      <c r="C53" s="265"/>
      <c r="D53" s="265"/>
      <c r="E53" s="263"/>
      <c r="F53" s="364"/>
      <c r="G53" s="266"/>
    </row>
    <row r="54" spans="1:7" s="398" customFormat="1" ht="13.5">
      <c r="A54" s="253"/>
      <c r="B54" s="179"/>
      <c r="C54" s="365"/>
      <c r="D54" s="273"/>
      <c r="E54" s="366"/>
      <c r="F54" s="273"/>
      <c r="G54" s="362"/>
    </row>
    <row r="55" spans="1:7" s="302" customFormat="1" ht="13.5">
      <c r="A55" s="177"/>
      <c r="B55" s="178"/>
      <c r="C55" s="265"/>
      <c r="D55" s="265"/>
      <c r="E55" s="263"/>
      <c r="F55" s="364"/>
      <c r="G55" s="266"/>
    </row>
    <row r="56" spans="1:7" s="302" customFormat="1" ht="13.5">
      <c r="A56" s="253"/>
      <c r="B56" s="179"/>
      <c r="C56" s="365"/>
      <c r="D56" s="273"/>
      <c r="E56" s="366"/>
      <c r="F56" s="273"/>
      <c r="G56" s="362"/>
    </row>
    <row r="57" spans="1:7" s="302" customFormat="1" ht="13.5">
      <c r="A57" s="177"/>
      <c r="B57" s="178"/>
      <c r="C57" s="265"/>
      <c r="D57" s="265"/>
      <c r="E57" s="263"/>
      <c r="F57" s="364"/>
      <c r="G57" s="266"/>
    </row>
    <row r="58" spans="1:7" s="302" customFormat="1" ht="13.5">
      <c r="A58" s="253"/>
      <c r="B58" s="179"/>
      <c r="C58" s="365"/>
      <c r="D58" s="273"/>
      <c r="E58" s="366"/>
      <c r="F58" s="273"/>
      <c r="G58" s="362"/>
    </row>
    <row r="59" spans="1:7" s="302" customFormat="1" ht="13.5">
      <c r="A59" s="177"/>
      <c r="B59" s="178"/>
      <c r="C59" s="265"/>
      <c r="D59" s="265"/>
      <c r="E59" s="263"/>
      <c r="F59" s="364"/>
      <c r="G59" s="266"/>
    </row>
    <row r="60" spans="1:7" s="302" customFormat="1" ht="13.5">
      <c r="A60" s="253"/>
      <c r="B60" s="179"/>
      <c r="C60" s="365"/>
      <c r="D60" s="273"/>
      <c r="E60" s="366"/>
      <c r="F60" s="273"/>
      <c r="G60" s="362"/>
    </row>
    <row r="61" spans="1:7" s="302" customFormat="1" ht="13.5">
      <c r="A61" s="177"/>
      <c r="B61" s="178"/>
      <c r="C61" s="265"/>
      <c r="D61" s="265"/>
      <c r="E61" s="263"/>
      <c r="F61" s="364"/>
      <c r="G61" s="266"/>
    </row>
    <row r="62" spans="1:7" s="302" customFormat="1" ht="13.5">
      <c r="A62" s="253"/>
      <c r="B62" s="179"/>
      <c r="C62" s="365"/>
      <c r="D62" s="273"/>
      <c r="E62" s="366"/>
      <c r="F62" s="273"/>
      <c r="G62" s="362"/>
    </row>
    <row r="63" spans="1:7" s="302" customFormat="1" ht="13.5">
      <c r="A63" s="177"/>
      <c r="B63" s="178"/>
      <c r="C63" s="265"/>
      <c r="D63" s="265"/>
      <c r="E63" s="263"/>
      <c r="F63" s="364"/>
      <c r="G63" s="266"/>
    </row>
    <row r="64" spans="1:7" s="302" customFormat="1" ht="13.5">
      <c r="A64" s="253"/>
      <c r="B64" s="179"/>
      <c r="C64" s="365"/>
      <c r="D64" s="273"/>
      <c r="E64" s="366"/>
      <c r="F64" s="273"/>
      <c r="G64" s="362"/>
    </row>
    <row r="65" spans="1:7" s="302" customFormat="1" ht="13.5">
      <c r="A65" s="177"/>
      <c r="B65" s="178"/>
      <c r="C65" s="265"/>
      <c r="D65" s="265"/>
      <c r="E65" s="364"/>
      <c r="F65" s="364"/>
      <c r="G65" s="266"/>
    </row>
    <row r="66" spans="1:7" s="302" customFormat="1" ht="13.5">
      <c r="A66" s="253"/>
      <c r="B66" s="179"/>
      <c r="C66" s="365"/>
      <c r="D66" s="273"/>
      <c r="E66" s="366"/>
      <c r="F66" s="273"/>
      <c r="G66" s="362"/>
    </row>
    <row r="67" spans="1:7" s="302" customFormat="1" ht="13.5">
      <c r="A67" s="177"/>
      <c r="B67" s="178"/>
      <c r="C67" s="265"/>
      <c r="D67" s="265"/>
      <c r="E67" s="263"/>
      <c r="F67" s="364"/>
      <c r="G67" s="266"/>
    </row>
    <row r="68" spans="1:7" s="302" customFormat="1" ht="13.5">
      <c r="A68" s="253"/>
      <c r="B68" s="179"/>
      <c r="C68" s="365"/>
      <c r="D68" s="273"/>
      <c r="E68" s="366"/>
      <c r="F68" s="273"/>
      <c r="G68" s="362"/>
    </row>
    <row r="69" spans="1:7" s="302" customFormat="1" ht="13.5">
      <c r="A69" s="177"/>
      <c r="B69" s="178"/>
      <c r="C69" s="265"/>
      <c r="D69" s="265"/>
      <c r="E69" s="263"/>
      <c r="F69" s="364"/>
      <c r="G69" s="266"/>
    </row>
    <row r="70" spans="1:7" s="302" customFormat="1" ht="13.5">
      <c r="A70" s="253"/>
      <c r="B70" s="179"/>
      <c r="C70" s="365"/>
      <c r="D70" s="273"/>
      <c r="E70" s="366"/>
      <c r="F70" s="273"/>
      <c r="G70" s="362"/>
    </row>
    <row r="71" spans="1:7" s="302" customFormat="1" ht="13.5">
      <c r="A71" s="177"/>
      <c r="B71" s="178"/>
      <c r="C71" s="265"/>
      <c r="D71" s="265"/>
      <c r="E71" s="263"/>
      <c r="F71" s="364"/>
      <c r="G71" s="266"/>
    </row>
    <row r="72" spans="1:7" s="302" customFormat="1" ht="13.5">
      <c r="A72" s="253"/>
      <c r="B72" s="179"/>
      <c r="C72" s="365"/>
      <c r="D72" s="273"/>
      <c r="E72" s="366"/>
      <c r="F72" s="273"/>
      <c r="G72" s="362"/>
    </row>
    <row r="73" spans="1:14" s="302" customFormat="1" ht="13.5">
      <c r="A73" s="298"/>
      <c r="B73" s="255"/>
      <c r="C73" s="372"/>
      <c r="D73" s="372"/>
      <c r="E73" s="374"/>
      <c r="F73" s="374"/>
      <c r="G73" s="300"/>
      <c r="H73" s="381"/>
      <c r="I73" s="381"/>
      <c r="J73" s="381"/>
      <c r="K73" s="381"/>
      <c r="L73" s="381"/>
      <c r="M73" s="381"/>
      <c r="N73" s="381"/>
    </row>
    <row r="74" spans="1:14" s="302" customFormat="1" ht="13.5">
      <c r="A74" s="294"/>
      <c r="B74" s="275"/>
      <c r="C74" s="367"/>
      <c r="D74" s="367"/>
      <c r="E74" s="382"/>
      <c r="F74" s="367"/>
      <c r="G74" s="284"/>
      <c r="H74" s="381"/>
      <c r="I74" s="381"/>
      <c r="J74" s="381"/>
      <c r="K74" s="381"/>
      <c r="L74" s="381"/>
      <c r="M74" s="381"/>
      <c r="N74" s="381"/>
    </row>
    <row r="75" spans="1:14" s="302" customFormat="1" ht="13.5">
      <c r="A75" s="297"/>
      <c r="B75" s="275"/>
      <c r="C75" s="372"/>
      <c r="D75" s="372"/>
      <c r="E75" s="299"/>
      <c r="F75" s="372"/>
      <c r="G75" s="300"/>
      <c r="H75" s="381"/>
      <c r="I75" s="381"/>
      <c r="J75" s="381"/>
      <c r="K75" s="381"/>
      <c r="L75" s="381"/>
      <c r="M75" s="381"/>
      <c r="N75" s="381"/>
    </row>
    <row r="76" spans="1:14" s="302" customFormat="1" ht="13.5">
      <c r="A76" s="297"/>
      <c r="B76" s="275"/>
      <c r="C76" s="372"/>
      <c r="D76" s="372"/>
      <c r="E76" s="299"/>
      <c r="F76" s="372"/>
      <c r="G76" s="300"/>
      <c r="H76" s="381"/>
      <c r="I76" s="381"/>
      <c r="J76" s="381"/>
      <c r="K76" s="381"/>
      <c r="L76" s="381"/>
      <c r="M76" s="381"/>
      <c r="N76" s="381"/>
    </row>
    <row r="77" spans="1:14" s="302" customFormat="1" ht="13.5">
      <c r="A77" s="297"/>
      <c r="B77" s="255"/>
      <c r="C77" s="372"/>
      <c r="D77" s="372"/>
      <c r="E77" s="299"/>
      <c r="F77" s="372"/>
      <c r="G77" s="300"/>
      <c r="H77" s="381"/>
      <c r="I77" s="381"/>
      <c r="J77" s="381"/>
      <c r="K77" s="381"/>
      <c r="L77" s="381"/>
      <c r="M77" s="381"/>
      <c r="N77" s="381"/>
    </row>
    <row r="78" spans="1:14" s="302" customFormat="1" ht="13.5">
      <c r="A78" s="294"/>
      <c r="B78" s="275"/>
      <c r="C78" s="367"/>
      <c r="D78" s="367"/>
      <c r="E78" s="382"/>
      <c r="F78" s="367"/>
      <c r="G78" s="284"/>
      <c r="H78" s="381"/>
      <c r="I78" s="381"/>
      <c r="J78" s="381"/>
      <c r="K78" s="381"/>
      <c r="L78" s="381"/>
      <c r="M78" s="381"/>
      <c r="N78" s="381"/>
    </row>
    <row r="79" spans="1:14" s="302" customFormat="1" ht="13.5">
      <c r="A79" s="298"/>
      <c r="B79" s="275"/>
      <c r="C79" s="372"/>
      <c r="D79" s="373"/>
      <c r="E79" s="299"/>
      <c r="F79" s="372"/>
      <c r="G79" s="300"/>
      <c r="H79" s="381"/>
      <c r="I79" s="381"/>
      <c r="J79" s="381"/>
      <c r="K79" s="381"/>
      <c r="L79" s="381"/>
      <c r="M79" s="381"/>
      <c r="N79" s="381"/>
    </row>
    <row r="80" spans="1:14" s="302" customFormat="1" ht="13.5">
      <c r="A80" s="298"/>
      <c r="B80" s="275"/>
      <c r="C80" s="372"/>
      <c r="D80" s="373"/>
      <c r="E80" s="299"/>
      <c r="F80" s="372"/>
      <c r="G80" s="300"/>
      <c r="H80" s="381"/>
      <c r="I80" s="381"/>
      <c r="J80" s="381"/>
      <c r="K80" s="381"/>
      <c r="L80" s="381"/>
      <c r="M80" s="381"/>
      <c r="N80" s="381"/>
    </row>
    <row r="81" spans="1:14" s="302" customFormat="1" ht="13.5">
      <c r="A81" s="298"/>
      <c r="B81" s="275"/>
      <c r="C81" s="372"/>
      <c r="D81" s="374"/>
      <c r="E81" s="299"/>
      <c r="F81" s="372"/>
      <c r="G81" s="300"/>
      <c r="H81" s="381"/>
      <c r="I81" s="381"/>
      <c r="J81" s="381"/>
      <c r="K81" s="381"/>
      <c r="L81" s="381"/>
      <c r="M81" s="381"/>
      <c r="N81" s="381"/>
    </row>
    <row r="82" spans="1:14" s="302" customFormat="1" ht="13.5">
      <c r="A82" s="298"/>
      <c r="B82" s="275"/>
      <c r="C82" s="372"/>
      <c r="D82" s="373"/>
      <c r="E82" s="299"/>
      <c r="F82" s="372"/>
      <c r="G82" s="300"/>
      <c r="H82" s="381"/>
      <c r="I82" s="381"/>
      <c r="J82" s="381"/>
      <c r="K82" s="381"/>
      <c r="L82" s="381"/>
      <c r="M82" s="381"/>
      <c r="N82" s="381"/>
    </row>
    <row r="83" spans="1:14" s="302" customFormat="1" ht="13.5">
      <c r="A83" s="298"/>
      <c r="B83" s="255"/>
      <c r="C83" s="372"/>
      <c r="D83" s="373"/>
      <c r="E83" s="299"/>
      <c r="F83" s="372"/>
      <c r="G83" s="300"/>
      <c r="H83" s="381"/>
      <c r="I83" s="381"/>
      <c r="J83" s="381"/>
      <c r="K83" s="381"/>
      <c r="L83" s="381"/>
      <c r="M83" s="381"/>
      <c r="N83" s="381"/>
    </row>
    <row r="84" spans="1:14" s="302" customFormat="1" ht="13.5">
      <c r="A84" s="294"/>
      <c r="B84" s="275"/>
      <c r="C84" s="367"/>
      <c r="D84" s="367"/>
      <c r="E84" s="367"/>
      <c r="F84" s="367"/>
      <c r="G84" s="284"/>
      <c r="H84" s="381"/>
      <c r="I84" s="381"/>
      <c r="J84" s="381"/>
      <c r="K84" s="381"/>
      <c r="L84" s="381"/>
      <c r="M84" s="381"/>
      <c r="N84" s="381"/>
    </row>
    <row r="85" spans="1:14" s="302" customFormat="1" ht="13.5">
      <c r="A85" s="297"/>
      <c r="B85" s="275"/>
      <c r="C85" s="372"/>
      <c r="D85" s="372"/>
      <c r="E85" s="299"/>
      <c r="F85" s="372"/>
      <c r="G85" s="300"/>
      <c r="H85" s="381"/>
      <c r="I85" s="381"/>
      <c r="J85" s="381"/>
      <c r="K85" s="381"/>
      <c r="L85" s="381"/>
      <c r="M85" s="381"/>
      <c r="N85" s="381"/>
    </row>
    <row r="86" spans="1:14" s="302" customFormat="1" ht="13.5">
      <c r="A86" s="297"/>
      <c r="B86" s="275"/>
      <c r="C86" s="372"/>
      <c r="D86" s="372"/>
      <c r="E86" s="299"/>
      <c r="F86" s="299"/>
      <c r="G86" s="300"/>
      <c r="H86" s="381"/>
      <c r="I86" s="381"/>
      <c r="J86" s="381"/>
      <c r="K86" s="381"/>
      <c r="L86" s="381"/>
      <c r="M86" s="381"/>
      <c r="N86" s="381"/>
    </row>
    <row r="87" spans="1:14" s="302" customFormat="1" ht="13.5">
      <c r="A87" s="297"/>
      <c r="B87" s="255"/>
      <c r="C87" s="372"/>
      <c r="D87" s="372"/>
      <c r="E87" s="299"/>
      <c r="F87" s="372"/>
      <c r="G87" s="300"/>
      <c r="H87" s="381"/>
      <c r="I87" s="381"/>
      <c r="J87" s="381"/>
      <c r="K87" s="381"/>
      <c r="L87" s="381"/>
      <c r="M87" s="381"/>
      <c r="N87" s="381"/>
    </row>
    <row r="88" spans="1:14" s="302" customFormat="1" ht="13.5">
      <c r="A88" s="294"/>
      <c r="B88" s="275"/>
      <c r="C88" s="383"/>
      <c r="D88" s="367"/>
      <c r="E88" s="382"/>
      <c r="F88" s="367"/>
      <c r="G88" s="284"/>
      <c r="H88" s="381"/>
      <c r="I88" s="381"/>
      <c r="J88" s="381"/>
      <c r="K88" s="381"/>
      <c r="L88" s="381"/>
      <c r="M88" s="381"/>
      <c r="N88" s="381"/>
    </row>
    <row r="89" spans="1:14" s="302" customFormat="1" ht="13.5">
      <c r="A89" s="297"/>
      <c r="B89" s="275"/>
      <c r="C89" s="372"/>
      <c r="D89" s="372"/>
      <c r="E89" s="299"/>
      <c r="F89" s="372"/>
      <c r="G89" s="300"/>
      <c r="H89" s="381"/>
      <c r="I89" s="381"/>
      <c r="J89" s="381"/>
      <c r="K89" s="381"/>
      <c r="L89" s="381"/>
      <c r="M89" s="381"/>
      <c r="N89" s="381"/>
    </row>
    <row r="90" spans="1:14" s="302" customFormat="1" ht="13.5">
      <c r="A90" s="297"/>
      <c r="B90" s="275"/>
      <c r="C90" s="372"/>
      <c r="D90" s="372"/>
      <c r="E90" s="299"/>
      <c r="F90" s="372"/>
      <c r="G90" s="300"/>
      <c r="H90" s="381"/>
      <c r="I90" s="381"/>
      <c r="J90" s="381"/>
      <c r="K90" s="381"/>
      <c r="L90" s="381"/>
      <c r="M90" s="381"/>
      <c r="N90" s="381"/>
    </row>
    <row r="91" spans="1:14" s="302" customFormat="1" ht="13.5">
      <c r="A91" s="297"/>
      <c r="B91" s="275"/>
      <c r="C91" s="372"/>
      <c r="D91" s="372"/>
      <c r="E91" s="299"/>
      <c r="F91" s="372"/>
      <c r="G91" s="300"/>
      <c r="H91" s="381"/>
      <c r="I91" s="381"/>
      <c r="J91" s="381"/>
      <c r="K91" s="381"/>
      <c r="L91" s="381"/>
      <c r="M91" s="381"/>
      <c r="N91" s="381"/>
    </row>
    <row r="92" spans="1:14" s="302" customFormat="1" ht="13.5">
      <c r="A92" s="297"/>
      <c r="B92" s="255"/>
      <c r="C92" s="372"/>
      <c r="D92" s="372"/>
      <c r="E92" s="299"/>
      <c r="F92" s="372"/>
      <c r="G92" s="300"/>
      <c r="H92" s="381"/>
      <c r="I92" s="381"/>
      <c r="J92" s="381"/>
      <c r="K92" s="381"/>
      <c r="L92" s="381"/>
      <c r="M92" s="381"/>
      <c r="N92" s="381"/>
    </row>
    <row r="93" spans="1:14" s="302" customFormat="1" ht="13.5">
      <c r="A93" s="294"/>
      <c r="B93" s="372"/>
      <c r="C93" s="367"/>
      <c r="D93" s="367"/>
      <c r="E93" s="382"/>
      <c r="F93" s="367"/>
      <c r="G93" s="284"/>
      <c r="H93" s="381"/>
      <c r="I93" s="381"/>
      <c r="J93" s="381"/>
      <c r="K93" s="381"/>
      <c r="L93" s="381"/>
      <c r="M93" s="381"/>
      <c r="N93" s="381"/>
    </row>
    <row r="94" spans="1:14" s="302" customFormat="1" ht="13.5">
      <c r="A94" s="297"/>
      <c r="B94" s="372"/>
      <c r="C94" s="372"/>
      <c r="D94" s="372"/>
      <c r="E94" s="299"/>
      <c r="F94" s="372"/>
      <c r="G94" s="300"/>
      <c r="H94" s="381"/>
      <c r="I94" s="381"/>
      <c r="J94" s="381"/>
      <c r="K94" s="381"/>
      <c r="L94" s="381"/>
      <c r="M94" s="381"/>
      <c r="N94" s="381"/>
    </row>
    <row r="95" spans="1:14" s="302" customFormat="1" ht="13.5">
      <c r="A95" s="297"/>
      <c r="B95" s="372"/>
      <c r="C95" s="372"/>
      <c r="D95" s="372"/>
      <c r="E95" s="299"/>
      <c r="F95" s="372"/>
      <c r="G95" s="300"/>
      <c r="H95" s="381"/>
      <c r="I95" s="381"/>
      <c r="J95" s="381"/>
      <c r="K95" s="381"/>
      <c r="L95" s="381"/>
      <c r="M95" s="381"/>
      <c r="N95" s="381"/>
    </row>
    <row r="96" spans="1:14" s="302" customFormat="1" ht="13.5">
      <c r="A96" s="297"/>
      <c r="B96" s="372"/>
      <c r="C96" s="372"/>
      <c r="D96" s="372"/>
      <c r="E96" s="299"/>
      <c r="F96" s="299"/>
      <c r="G96" s="300"/>
      <c r="H96" s="381"/>
      <c r="I96" s="381"/>
      <c r="J96" s="381"/>
      <c r="K96" s="381"/>
      <c r="L96" s="381"/>
      <c r="M96" s="381"/>
      <c r="N96" s="381"/>
    </row>
    <row r="97" spans="1:14" s="302" customFormat="1" ht="13.5">
      <c r="A97" s="297"/>
      <c r="B97" s="372"/>
      <c r="C97" s="372"/>
      <c r="D97" s="372"/>
      <c r="E97" s="299"/>
      <c r="F97" s="374"/>
      <c r="G97" s="300"/>
      <c r="H97" s="381"/>
      <c r="I97" s="381"/>
      <c r="J97" s="381"/>
      <c r="K97" s="381"/>
      <c r="L97" s="381"/>
      <c r="M97" s="381"/>
      <c r="N97" s="381"/>
    </row>
    <row r="98" spans="1:14" s="302" customFormat="1" ht="13.5">
      <c r="A98" s="297"/>
      <c r="B98" s="372"/>
      <c r="C98" s="372"/>
      <c r="D98" s="372"/>
      <c r="E98" s="299"/>
      <c r="F98" s="372"/>
      <c r="G98" s="300"/>
      <c r="H98" s="381"/>
      <c r="I98" s="381"/>
      <c r="J98" s="381"/>
      <c r="K98" s="381"/>
      <c r="L98" s="381"/>
      <c r="M98" s="381"/>
      <c r="N98" s="381"/>
    </row>
    <row r="99" spans="1:14" s="302" customFormat="1" ht="13.5">
      <c r="A99" s="297"/>
      <c r="B99" s="255"/>
      <c r="C99" s="372"/>
      <c r="D99" s="372"/>
      <c r="E99" s="299"/>
      <c r="F99" s="372"/>
      <c r="G99" s="300"/>
      <c r="H99" s="381"/>
      <c r="I99" s="381"/>
      <c r="J99" s="381"/>
      <c r="K99" s="381"/>
      <c r="L99" s="381"/>
      <c r="M99" s="381"/>
      <c r="N99" s="381"/>
    </row>
    <row r="100" spans="1:14" s="302" customFormat="1" ht="13.5">
      <c r="A100" s="384"/>
      <c r="B100" s="275"/>
      <c r="C100" s="367"/>
      <c r="D100" s="367"/>
      <c r="E100" s="382"/>
      <c r="F100" s="367"/>
      <c r="G100" s="284"/>
      <c r="H100" s="381"/>
      <c r="I100" s="381"/>
      <c r="J100" s="381"/>
      <c r="K100" s="381"/>
      <c r="L100" s="381"/>
      <c r="M100" s="381"/>
      <c r="N100" s="381"/>
    </row>
    <row r="101" spans="1:14" s="302" customFormat="1" ht="13.5">
      <c r="A101" s="297"/>
      <c r="B101" s="275"/>
      <c r="C101" s="372"/>
      <c r="D101" s="372"/>
      <c r="E101" s="299"/>
      <c r="F101" s="372"/>
      <c r="G101" s="300"/>
      <c r="H101" s="381"/>
      <c r="I101" s="381"/>
      <c r="J101" s="381"/>
      <c r="K101" s="381"/>
      <c r="L101" s="381"/>
      <c r="M101" s="381"/>
      <c r="N101" s="381"/>
    </row>
    <row r="102" spans="1:14" s="302" customFormat="1" ht="13.5">
      <c r="A102" s="297"/>
      <c r="B102" s="275"/>
      <c r="C102" s="372"/>
      <c r="D102" s="372"/>
      <c r="E102" s="299"/>
      <c r="F102" s="372"/>
      <c r="G102" s="300"/>
      <c r="H102" s="381"/>
      <c r="I102" s="381"/>
      <c r="J102" s="381"/>
      <c r="K102" s="381"/>
      <c r="L102" s="381"/>
      <c r="M102" s="381"/>
      <c r="N102" s="381"/>
    </row>
    <row r="103" spans="1:14" s="302" customFormat="1" ht="13.5">
      <c r="A103" s="297"/>
      <c r="B103" s="255"/>
      <c r="C103" s="372"/>
      <c r="D103" s="372"/>
      <c r="E103" s="299"/>
      <c r="F103" s="372"/>
      <c r="G103" s="300"/>
      <c r="H103" s="381"/>
      <c r="I103" s="381"/>
      <c r="J103" s="381"/>
      <c r="K103" s="381"/>
      <c r="L103" s="381"/>
      <c r="M103" s="381"/>
      <c r="N103" s="381"/>
    </row>
    <row r="104" spans="1:14" s="302" customFormat="1" ht="13.5">
      <c r="A104" s="294"/>
      <c r="B104" s="275"/>
      <c r="C104" s="367"/>
      <c r="D104" s="367"/>
      <c r="E104" s="385"/>
      <c r="F104" s="367"/>
      <c r="G104" s="284"/>
      <c r="H104" s="381"/>
      <c r="I104" s="381"/>
      <c r="J104" s="381"/>
      <c r="K104" s="381"/>
      <c r="L104" s="381"/>
      <c r="M104" s="381"/>
      <c r="N104" s="381"/>
    </row>
    <row r="105" spans="1:14" s="302" customFormat="1" ht="13.5">
      <c r="A105" s="298"/>
      <c r="B105" s="275"/>
      <c r="C105" s="372"/>
      <c r="D105" s="372"/>
      <c r="E105" s="299"/>
      <c r="F105" s="372"/>
      <c r="G105" s="300"/>
      <c r="H105" s="381"/>
      <c r="I105" s="381"/>
      <c r="J105" s="381"/>
      <c r="K105" s="381"/>
      <c r="L105" s="381"/>
      <c r="M105" s="381"/>
      <c r="N105" s="381"/>
    </row>
    <row r="106" spans="1:14" s="302" customFormat="1" ht="13.5">
      <c r="A106" s="298"/>
      <c r="B106" s="275"/>
      <c r="C106" s="372"/>
      <c r="D106" s="372"/>
      <c r="E106" s="299"/>
      <c r="F106" s="372"/>
      <c r="G106" s="300"/>
      <c r="H106" s="381"/>
      <c r="I106" s="381"/>
      <c r="J106" s="381"/>
      <c r="K106" s="381"/>
      <c r="L106" s="381"/>
      <c r="M106" s="381"/>
      <c r="N106" s="381"/>
    </row>
    <row r="107" spans="1:14" s="302" customFormat="1" ht="13.5">
      <c r="A107" s="298"/>
      <c r="B107" s="275"/>
      <c r="C107" s="372"/>
      <c r="D107" s="372"/>
      <c r="E107" s="299"/>
      <c r="F107" s="372"/>
      <c r="G107" s="300"/>
      <c r="H107" s="381"/>
      <c r="I107" s="381"/>
      <c r="J107" s="381"/>
      <c r="K107" s="381"/>
      <c r="L107" s="381"/>
      <c r="M107" s="381"/>
      <c r="N107" s="381"/>
    </row>
    <row r="108" spans="1:14" s="302" customFormat="1" ht="13.5">
      <c r="A108" s="298"/>
      <c r="B108" s="255"/>
      <c r="C108" s="372"/>
      <c r="D108" s="372"/>
      <c r="E108" s="299"/>
      <c r="F108" s="372"/>
      <c r="G108" s="300"/>
      <c r="H108" s="381"/>
      <c r="I108" s="381"/>
      <c r="J108" s="381"/>
      <c r="K108" s="381"/>
      <c r="L108" s="381"/>
      <c r="M108" s="381"/>
      <c r="N108" s="381"/>
    </row>
    <row r="109" spans="1:14" s="302" customFormat="1" ht="13.5">
      <c r="A109" s="294"/>
      <c r="B109" s="372"/>
      <c r="C109" s="255"/>
      <c r="D109" s="255"/>
      <c r="E109" s="369"/>
      <c r="F109" s="255"/>
      <c r="G109" s="370"/>
      <c r="H109" s="381"/>
      <c r="I109" s="381"/>
      <c r="J109" s="381"/>
      <c r="K109" s="381"/>
      <c r="L109" s="381"/>
      <c r="M109" s="381"/>
      <c r="N109" s="381"/>
    </row>
    <row r="110" spans="1:14" s="302" customFormat="1" ht="13.5">
      <c r="A110" s="371"/>
      <c r="B110" s="372"/>
      <c r="C110" s="372"/>
      <c r="D110" s="372"/>
      <c r="E110" s="299"/>
      <c r="F110" s="372"/>
      <c r="G110" s="300"/>
      <c r="H110" s="381"/>
      <c r="I110" s="381"/>
      <c r="J110" s="381"/>
      <c r="K110" s="381"/>
      <c r="L110" s="381"/>
      <c r="M110" s="381"/>
      <c r="N110" s="381"/>
    </row>
    <row r="111" spans="1:14" s="302" customFormat="1" ht="13.5">
      <c r="A111" s="371"/>
      <c r="B111" s="372"/>
      <c r="C111" s="372"/>
      <c r="D111" s="373"/>
      <c r="E111" s="299"/>
      <c r="F111" s="372"/>
      <c r="G111" s="300"/>
      <c r="H111" s="381"/>
      <c r="I111" s="381"/>
      <c r="J111" s="381"/>
      <c r="K111" s="381"/>
      <c r="L111" s="381"/>
      <c r="M111" s="381"/>
      <c r="N111" s="381"/>
    </row>
    <row r="112" spans="1:14" s="302" customFormat="1" ht="13.5">
      <c r="A112" s="371"/>
      <c r="B112" s="372"/>
      <c r="C112" s="372"/>
      <c r="D112" s="373"/>
      <c r="E112" s="299"/>
      <c r="F112" s="372"/>
      <c r="G112" s="300"/>
      <c r="H112" s="381"/>
      <c r="I112" s="381"/>
      <c r="J112" s="381"/>
      <c r="K112" s="381"/>
      <c r="L112" s="381"/>
      <c r="M112" s="381"/>
      <c r="N112" s="381"/>
    </row>
    <row r="113" spans="1:14" s="302" customFormat="1" ht="13.5">
      <c r="A113" s="371"/>
      <c r="B113" s="372"/>
      <c r="C113" s="372"/>
      <c r="D113" s="372"/>
      <c r="E113" s="374"/>
      <c r="F113" s="372"/>
      <c r="G113" s="300"/>
      <c r="H113" s="381"/>
      <c r="I113" s="381"/>
      <c r="J113" s="381"/>
      <c r="K113" s="381"/>
      <c r="L113" s="381"/>
      <c r="M113" s="381"/>
      <c r="N113" s="381"/>
    </row>
    <row r="114" spans="1:14" s="302" customFormat="1" ht="13.5">
      <c r="A114" s="371"/>
      <c r="B114" s="255"/>
      <c r="C114" s="372"/>
      <c r="D114" s="373"/>
      <c r="E114" s="299"/>
      <c r="F114" s="372"/>
      <c r="G114" s="300"/>
      <c r="H114" s="381"/>
      <c r="I114" s="381"/>
      <c r="J114" s="381"/>
      <c r="K114" s="381"/>
      <c r="L114" s="381"/>
      <c r="M114" s="381"/>
      <c r="N114" s="381"/>
    </row>
    <row r="115" spans="1:14" s="302" customFormat="1" ht="13.5">
      <c r="A115" s="294"/>
      <c r="B115" s="275"/>
      <c r="C115" s="255"/>
      <c r="D115" s="255"/>
      <c r="E115" s="296"/>
      <c r="F115" s="255"/>
      <c r="G115" s="370"/>
      <c r="H115" s="381"/>
      <c r="I115" s="381"/>
      <c r="J115" s="381"/>
      <c r="K115" s="381"/>
      <c r="L115" s="381"/>
      <c r="M115" s="381"/>
      <c r="N115" s="381"/>
    </row>
    <row r="116" spans="1:14" s="302" customFormat="1" ht="13.5">
      <c r="A116" s="297"/>
      <c r="B116" s="275"/>
      <c r="C116" s="275"/>
      <c r="D116" s="275"/>
      <c r="E116" s="376"/>
      <c r="F116" s="275"/>
      <c r="G116" s="377"/>
      <c r="H116" s="381"/>
      <c r="I116" s="381"/>
      <c r="J116" s="381"/>
      <c r="K116" s="381"/>
      <c r="L116" s="381"/>
      <c r="M116" s="381"/>
      <c r="N116" s="381"/>
    </row>
    <row r="117" spans="1:14" s="302" customFormat="1" ht="13.5">
      <c r="A117" s="297"/>
      <c r="B117" s="275"/>
      <c r="C117" s="275"/>
      <c r="D117" s="386"/>
      <c r="E117" s="376"/>
      <c r="F117" s="275"/>
      <c r="G117" s="377"/>
      <c r="H117" s="381"/>
      <c r="I117" s="381"/>
      <c r="J117" s="381"/>
      <c r="K117" s="381"/>
      <c r="L117" s="381"/>
      <c r="M117" s="381"/>
      <c r="N117" s="381"/>
    </row>
    <row r="118" spans="1:14" s="302" customFormat="1" ht="13.5">
      <c r="A118" s="297"/>
      <c r="B118" s="275"/>
      <c r="C118" s="275"/>
      <c r="D118" s="387"/>
      <c r="E118" s="376"/>
      <c r="F118" s="275"/>
      <c r="G118" s="377"/>
      <c r="H118" s="381"/>
      <c r="I118" s="381"/>
      <c r="J118" s="381"/>
      <c r="K118" s="381"/>
      <c r="L118" s="381"/>
      <c r="M118" s="381"/>
      <c r="N118" s="381"/>
    </row>
    <row r="119" spans="1:14" s="302" customFormat="1" ht="13.5">
      <c r="A119" s="297"/>
      <c r="B119" s="255"/>
      <c r="C119" s="275"/>
      <c r="D119" s="275"/>
      <c r="E119" s="376"/>
      <c r="F119" s="275"/>
      <c r="G119" s="377"/>
      <c r="H119" s="381"/>
      <c r="I119" s="381"/>
      <c r="J119" s="381"/>
      <c r="K119" s="381"/>
      <c r="L119" s="381"/>
      <c r="M119" s="381"/>
      <c r="N119" s="381"/>
    </row>
    <row r="120" spans="1:14" s="302" customFormat="1" ht="13.5">
      <c r="A120" s="384"/>
      <c r="B120" s="275"/>
      <c r="C120" s="367"/>
      <c r="D120" s="367"/>
      <c r="E120" s="382"/>
      <c r="F120" s="367"/>
      <c r="G120" s="284"/>
      <c r="H120" s="381"/>
      <c r="I120" s="381"/>
      <c r="J120" s="381"/>
      <c r="K120" s="381"/>
      <c r="L120" s="381"/>
      <c r="M120" s="381"/>
      <c r="N120" s="381"/>
    </row>
    <row r="121" spans="1:14" s="302" customFormat="1" ht="13.5">
      <c r="A121" s="297"/>
      <c r="B121" s="275"/>
      <c r="C121" s="372"/>
      <c r="D121" s="372"/>
      <c r="E121" s="299"/>
      <c r="F121" s="372"/>
      <c r="G121" s="300"/>
      <c r="H121" s="381"/>
      <c r="I121" s="381"/>
      <c r="J121" s="381"/>
      <c r="K121" s="381"/>
      <c r="L121" s="381"/>
      <c r="M121" s="381"/>
      <c r="N121" s="381"/>
    </row>
    <row r="122" spans="1:14" s="302" customFormat="1" ht="13.5">
      <c r="A122" s="297"/>
      <c r="B122" s="275"/>
      <c r="C122" s="372"/>
      <c r="D122" s="372"/>
      <c r="E122" s="299"/>
      <c r="F122" s="372"/>
      <c r="G122" s="300"/>
      <c r="H122" s="381"/>
      <c r="I122" s="381"/>
      <c r="J122" s="381"/>
      <c r="K122" s="381"/>
      <c r="L122" s="381"/>
      <c r="M122" s="381"/>
      <c r="N122" s="381"/>
    </row>
    <row r="123" spans="1:14" s="302" customFormat="1" ht="13.5">
      <c r="A123" s="297"/>
      <c r="B123" s="275"/>
      <c r="C123" s="372"/>
      <c r="D123" s="372"/>
      <c r="E123" s="299"/>
      <c r="F123" s="372"/>
      <c r="G123" s="300"/>
      <c r="H123" s="381"/>
      <c r="I123" s="381"/>
      <c r="J123" s="381"/>
      <c r="K123" s="381"/>
      <c r="L123" s="381"/>
      <c r="M123" s="381"/>
      <c r="N123" s="381"/>
    </row>
    <row r="124" spans="1:14" s="302" customFormat="1" ht="13.5">
      <c r="A124" s="297"/>
      <c r="B124" s="275"/>
      <c r="C124" s="372"/>
      <c r="D124" s="372"/>
      <c r="E124" s="299"/>
      <c r="F124" s="372"/>
      <c r="G124" s="300"/>
      <c r="H124" s="381"/>
      <c r="I124" s="381"/>
      <c r="J124" s="381"/>
      <c r="K124" s="381"/>
      <c r="L124" s="381"/>
      <c r="M124" s="381"/>
      <c r="N124" s="381"/>
    </row>
    <row r="125" spans="1:14" s="302" customFormat="1" ht="13.5">
      <c r="A125" s="297"/>
      <c r="B125" s="275"/>
      <c r="C125" s="372"/>
      <c r="D125" s="372"/>
      <c r="E125" s="299"/>
      <c r="F125" s="299"/>
      <c r="G125" s="300"/>
      <c r="H125" s="381"/>
      <c r="I125" s="381"/>
      <c r="J125" s="381"/>
      <c r="K125" s="381"/>
      <c r="L125" s="381"/>
      <c r="M125" s="381"/>
      <c r="N125" s="381"/>
    </row>
    <row r="126" spans="1:14" s="302" customFormat="1" ht="13.5">
      <c r="A126" s="297"/>
      <c r="B126" s="275"/>
      <c r="C126" s="372"/>
      <c r="D126" s="372"/>
      <c r="E126" s="299"/>
      <c r="F126" s="372"/>
      <c r="G126" s="300"/>
      <c r="H126" s="381"/>
      <c r="I126" s="381"/>
      <c r="J126" s="381"/>
      <c r="K126" s="381"/>
      <c r="L126" s="381"/>
      <c r="M126" s="381"/>
      <c r="N126" s="381"/>
    </row>
    <row r="127" spans="1:14" s="302" customFormat="1" ht="13.5">
      <c r="A127" s="297"/>
      <c r="B127" s="255"/>
      <c r="C127" s="372"/>
      <c r="D127" s="372"/>
      <c r="E127" s="299"/>
      <c r="F127" s="372"/>
      <c r="G127" s="300"/>
      <c r="H127" s="381"/>
      <c r="I127" s="381"/>
      <c r="J127" s="381"/>
      <c r="K127" s="381"/>
      <c r="L127" s="381"/>
      <c r="M127" s="381"/>
      <c r="N127" s="381"/>
    </row>
    <row r="128" spans="1:14" s="302" customFormat="1" ht="13.5">
      <c r="A128" s="384"/>
      <c r="B128" s="275"/>
      <c r="C128" s="367"/>
      <c r="D128" s="367"/>
      <c r="E128" s="382"/>
      <c r="F128" s="367"/>
      <c r="G128" s="284"/>
      <c r="H128" s="381"/>
      <c r="I128" s="381"/>
      <c r="J128" s="381"/>
      <c r="K128" s="381"/>
      <c r="L128" s="381"/>
      <c r="M128" s="381"/>
      <c r="N128" s="381"/>
    </row>
    <row r="129" spans="1:14" s="302" customFormat="1" ht="13.5">
      <c r="A129" s="297"/>
      <c r="B129" s="275"/>
      <c r="C129" s="372"/>
      <c r="D129" s="372"/>
      <c r="E129" s="299"/>
      <c r="F129" s="372"/>
      <c r="G129" s="300"/>
      <c r="H129" s="381"/>
      <c r="I129" s="381"/>
      <c r="J129" s="381"/>
      <c r="K129" s="381"/>
      <c r="L129" s="381"/>
      <c r="M129" s="381"/>
      <c r="N129" s="381"/>
    </row>
    <row r="130" spans="1:14" s="302" customFormat="1" ht="13.5">
      <c r="A130" s="297"/>
      <c r="B130" s="275"/>
      <c r="C130" s="372"/>
      <c r="D130" s="372"/>
      <c r="E130" s="299"/>
      <c r="F130" s="372"/>
      <c r="G130" s="300"/>
      <c r="H130" s="381"/>
      <c r="I130" s="381"/>
      <c r="J130" s="381"/>
      <c r="K130" s="381"/>
      <c r="L130" s="381"/>
      <c r="M130" s="381"/>
      <c r="N130" s="381"/>
    </row>
    <row r="131" spans="1:14" s="302" customFormat="1" ht="13.5">
      <c r="A131" s="297"/>
      <c r="B131" s="275"/>
      <c r="C131" s="372"/>
      <c r="D131" s="372"/>
      <c r="E131" s="299"/>
      <c r="F131" s="372"/>
      <c r="G131" s="300"/>
      <c r="H131" s="381"/>
      <c r="I131" s="381"/>
      <c r="J131" s="381"/>
      <c r="K131" s="381"/>
      <c r="L131" s="381"/>
      <c r="M131" s="381"/>
      <c r="N131" s="381"/>
    </row>
    <row r="132" spans="1:14" s="302" customFormat="1" ht="13.5">
      <c r="A132" s="297"/>
      <c r="B132" s="275"/>
      <c r="C132" s="372"/>
      <c r="D132" s="372"/>
      <c r="E132" s="299"/>
      <c r="F132" s="372"/>
      <c r="G132" s="300"/>
      <c r="H132" s="381"/>
      <c r="I132" s="381"/>
      <c r="J132" s="381"/>
      <c r="K132" s="381"/>
      <c r="L132" s="381"/>
      <c r="M132" s="381"/>
      <c r="N132" s="381"/>
    </row>
    <row r="133" spans="1:14" s="302" customFormat="1" ht="13.5">
      <c r="A133" s="297"/>
      <c r="B133" s="275"/>
      <c r="C133" s="372"/>
      <c r="D133" s="372"/>
      <c r="E133" s="299"/>
      <c r="F133" s="299"/>
      <c r="G133" s="300"/>
      <c r="H133" s="381"/>
      <c r="I133" s="381"/>
      <c r="J133" s="381"/>
      <c r="K133" s="381"/>
      <c r="L133" s="381"/>
      <c r="M133" s="381"/>
      <c r="N133" s="381"/>
    </row>
    <row r="134" spans="1:14" s="302" customFormat="1" ht="13.5">
      <c r="A134" s="297"/>
      <c r="B134" s="275"/>
      <c r="C134" s="372"/>
      <c r="D134" s="372"/>
      <c r="E134" s="299"/>
      <c r="F134" s="372"/>
      <c r="G134" s="300"/>
      <c r="H134" s="381"/>
      <c r="I134" s="381"/>
      <c r="J134" s="381"/>
      <c r="K134" s="381"/>
      <c r="L134" s="381"/>
      <c r="M134" s="381"/>
      <c r="N134" s="381"/>
    </row>
    <row r="135" spans="1:14" s="302" customFormat="1" ht="13.5">
      <c r="A135" s="297"/>
      <c r="B135" s="255"/>
      <c r="C135" s="372"/>
      <c r="D135" s="372"/>
      <c r="E135" s="299"/>
      <c r="F135" s="372"/>
      <c r="G135" s="300"/>
      <c r="H135" s="381"/>
      <c r="I135" s="381"/>
      <c r="J135" s="381"/>
      <c r="K135" s="381"/>
      <c r="L135" s="381"/>
      <c r="M135" s="381"/>
      <c r="N135" s="381"/>
    </row>
    <row r="136" spans="1:14" s="302" customFormat="1" ht="13.5">
      <c r="A136" s="294"/>
      <c r="B136" s="275"/>
      <c r="C136" s="255"/>
      <c r="D136" s="255"/>
      <c r="E136" s="369"/>
      <c r="F136" s="255"/>
      <c r="G136" s="370"/>
      <c r="H136" s="381"/>
      <c r="I136" s="381"/>
      <c r="J136" s="381"/>
      <c r="K136" s="381"/>
      <c r="L136" s="381"/>
      <c r="M136" s="381"/>
      <c r="N136" s="381"/>
    </row>
    <row r="137" spans="1:14" s="302" customFormat="1" ht="13.5">
      <c r="A137" s="297"/>
      <c r="B137" s="275"/>
      <c r="C137" s="275"/>
      <c r="D137" s="275"/>
      <c r="E137" s="376"/>
      <c r="F137" s="275"/>
      <c r="G137" s="377"/>
      <c r="H137" s="381"/>
      <c r="I137" s="381"/>
      <c r="J137" s="381"/>
      <c r="K137" s="381"/>
      <c r="L137" s="381"/>
      <c r="M137" s="381"/>
      <c r="N137" s="381"/>
    </row>
    <row r="138" spans="1:14" s="302" customFormat="1" ht="13.5">
      <c r="A138" s="297"/>
      <c r="B138" s="275"/>
      <c r="C138" s="275"/>
      <c r="D138" s="387"/>
      <c r="E138" s="376"/>
      <c r="F138" s="275"/>
      <c r="G138" s="377"/>
      <c r="H138" s="381"/>
      <c r="I138" s="381"/>
      <c r="J138" s="381"/>
      <c r="K138" s="381"/>
      <c r="L138" s="381"/>
      <c r="M138" s="381"/>
      <c r="N138" s="381"/>
    </row>
    <row r="139" spans="1:14" s="302" customFormat="1" ht="13.5">
      <c r="A139" s="297"/>
      <c r="B139" s="275"/>
      <c r="C139" s="275"/>
      <c r="D139" s="387"/>
      <c r="E139" s="376"/>
      <c r="F139" s="275"/>
      <c r="G139" s="377"/>
      <c r="H139" s="381"/>
      <c r="I139" s="381"/>
      <c r="J139" s="381"/>
      <c r="K139" s="381"/>
      <c r="L139" s="381"/>
      <c r="M139" s="381"/>
      <c r="N139" s="381"/>
    </row>
    <row r="140" spans="1:14" s="302" customFormat="1" ht="13.5">
      <c r="A140" s="297"/>
      <c r="B140" s="275"/>
      <c r="C140" s="275"/>
      <c r="D140" s="275"/>
      <c r="E140" s="388"/>
      <c r="F140" s="275"/>
      <c r="G140" s="377"/>
      <c r="H140" s="381"/>
      <c r="I140" s="381"/>
      <c r="J140" s="381"/>
      <c r="K140" s="381"/>
      <c r="L140" s="381"/>
      <c r="M140" s="381"/>
      <c r="N140" s="381"/>
    </row>
    <row r="141" spans="1:14" s="302" customFormat="1" ht="13.5">
      <c r="A141" s="297"/>
      <c r="B141" s="255"/>
      <c r="C141" s="275"/>
      <c r="D141" s="387"/>
      <c r="E141" s="376"/>
      <c r="F141" s="275"/>
      <c r="G141" s="377"/>
      <c r="H141" s="381"/>
      <c r="I141" s="381"/>
      <c r="J141" s="381"/>
      <c r="K141" s="381"/>
      <c r="L141" s="381"/>
      <c r="M141" s="381"/>
      <c r="N141" s="381"/>
    </row>
    <row r="142" spans="1:14" s="302" customFormat="1" ht="13.5">
      <c r="A142" s="294"/>
      <c r="B142" s="275"/>
      <c r="C142" s="367"/>
      <c r="D142" s="367"/>
      <c r="E142" s="382"/>
      <c r="F142" s="367"/>
      <c r="G142" s="284"/>
      <c r="H142" s="381"/>
      <c r="I142" s="381"/>
      <c r="J142" s="381"/>
      <c r="K142" s="381"/>
      <c r="L142" s="381"/>
      <c r="M142" s="381"/>
      <c r="N142" s="381"/>
    </row>
    <row r="143" spans="1:14" s="302" customFormat="1" ht="13.5">
      <c r="A143" s="298"/>
      <c r="B143" s="275"/>
      <c r="C143" s="372"/>
      <c r="D143" s="372"/>
      <c r="E143" s="299"/>
      <c r="F143" s="372"/>
      <c r="G143" s="300"/>
      <c r="H143" s="381"/>
      <c r="I143" s="381"/>
      <c r="J143" s="381"/>
      <c r="K143" s="381"/>
      <c r="L143" s="381"/>
      <c r="M143" s="381"/>
      <c r="N143" s="381"/>
    </row>
    <row r="144" spans="1:14" s="302" customFormat="1" ht="13.5">
      <c r="A144" s="298"/>
      <c r="B144" s="275"/>
      <c r="C144" s="372"/>
      <c r="D144" s="389"/>
      <c r="E144" s="299"/>
      <c r="F144" s="372"/>
      <c r="G144" s="300"/>
      <c r="H144" s="381"/>
      <c r="I144" s="381"/>
      <c r="J144" s="381"/>
      <c r="K144" s="381"/>
      <c r="L144" s="381"/>
      <c r="M144" s="381"/>
      <c r="N144" s="381"/>
    </row>
    <row r="145" spans="1:14" s="302" customFormat="1" ht="13.5">
      <c r="A145" s="298"/>
      <c r="B145" s="275"/>
      <c r="C145" s="372"/>
      <c r="D145" s="373"/>
      <c r="E145" s="299"/>
      <c r="F145" s="372"/>
      <c r="G145" s="300"/>
      <c r="H145" s="381"/>
      <c r="I145" s="381"/>
      <c r="J145" s="381"/>
      <c r="K145" s="381"/>
      <c r="L145" s="381"/>
      <c r="M145" s="381"/>
      <c r="N145" s="381"/>
    </row>
    <row r="146" spans="1:14" s="302" customFormat="1" ht="13.5">
      <c r="A146" s="298"/>
      <c r="B146" s="255"/>
      <c r="C146" s="372"/>
      <c r="D146" s="373"/>
      <c r="E146" s="299"/>
      <c r="F146" s="372"/>
      <c r="G146" s="300"/>
      <c r="H146" s="381"/>
      <c r="I146" s="381"/>
      <c r="J146" s="381"/>
      <c r="K146" s="381"/>
      <c r="L146" s="381"/>
      <c r="M146" s="381"/>
      <c r="N146" s="381"/>
    </row>
    <row r="147" spans="1:14" s="302" customFormat="1" ht="13.5">
      <c r="A147" s="294"/>
      <c r="B147" s="275"/>
      <c r="C147" s="383"/>
      <c r="D147" s="367"/>
      <c r="E147" s="385"/>
      <c r="F147" s="367"/>
      <c r="G147" s="284"/>
      <c r="H147" s="381"/>
      <c r="I147" s="381"/>
      <c r="J147" s="381"/>
      <c r="K147" s="381"/>
      <c r="L147" s="381"/>
      <c r="M147" s="381"/>
      <c r="N147" s="381"/>
    </row>
    <row r="148" spans="1:14" s="302" customFormat="1" ht="13.5">
      <c r="A148" s="297"/>
      <c r="B148" s="275"/>
      <c r="C148" s="372"/>
      <c r="D148" s="372"/>
      <c r="E148" s="299"/>
      <c r="F148" s="372"/>
      <c r="G148" s="300"/>
      <c r="H148" s="381"/>
      <c r="I148" s="381"/>
      <c r="J148" s="381"/>
      <c r="K148" s="381"/>
      <c r="L148" s="381"/>
      <c r="M148" s="381"/>
      <c r="N148" s="381"/>
    </row>
    <row r="149" spans="1:14" s="302" customFormat="1" ht="13.5">
      <c r="A149" s="297"/>
      <c r="B149" s="275"/>
      <c r="C149" s="372"/>
      <c r="D149" s="372"/>
      <c r="E149" s="299"/>
      <c r="F149" s="372"/>
      <c r="G149" s="300"/>
      <c r="H149" s="381"/>
      <c r="I149" s="381"/>
      <c r="J149" s="381"/>
      <c r="K149" s="381"/>
      <c r="L149" s="381"/>
      <c r="M149" s="381"/>
      <c r="N149" s="381"/>
    </row>
    <row r="150" spans="1:14" s="302" customFormat="1" ht="13.5">
      <c r="A150" s="297"/>
      <c r="B150" s="275"/>
      <c r="C150" s="372"/>
      <c r="D150" s="372"/>
      <c r="E150" s="299"/>
      <c r="F150" s="372"/>
      <c r="G150" s="300"/>
      <c r="H150" s="381"/>
      <c r="I150" s="381"/>
      <c r="J150" s="381"/>
      <c r="K150" s="381"/>
      <c r="L150" s="381"/>
      <c r="M150" s="381"/>
      <c r="N150" s="381"/>
    </row>
    <row r="151" spans="1:14" s="302" customFormat="1" ht="13.5">
      <c r="A151" s="297"/>
      <c r="B151" s="255"/>
      <c r="C151" s="372"/>
      <c r="D151" s="372"/>
      <c r="E151" s="299"/>
      <c r="F151" s="372"/>
      <c r="G151" s="300"/>
      <c r="H151" s="381"/>
      <c r="I151" s="381"/>
      <c r="J151" s="381"/>
      <c r="K151" s="381"/>
      <c r="L151" s="381"/>
      <c r="M151" s="381"/>
      <c r="N151" s="381"/>
    </row>
    <row r="152" spans="1:14" s="302" customFormat="1" ht="13.5">
      <c r="A152" s="294"/>
      <c r="B152" s="275"/>
      <c r="C152" s="383"/>
      <c r="D152" s="367"/>
      <c r="E152" s="385"/>
      <c r="F152" s="367"/>
      <c r="G152" s="284"/>
      <c r="H152" s="381"/>
      <c r="I152" s="381"/>
      <c r="J152" s="381"/>
      <c r="K152" s="381"/>
      <c r="L152" s="381"/>
      <c r="M152" s="381"/>
      <c r="N152" s="381"/>
    </row>
    <row r="153" spans="1:14" s="302" customFormat="1" ht="13.5">
      <c r="A153" s="297"/>
      <c r="B153" s="275"/>
      <c r="C153" s="372"/>
      <c r="D153" s="372"/>
      <c r="E153" s="299"/>
      <c r="F153" s="372"/>
      <c r="G153" s="300"/>
      <c r="H153" s="381"/>
      <c r="I153" s="381"/>
      <c r="J153" s="381"/>
      <c r="K153" s="381"/>
      <c r="L153" s="381"/>
      <c r="M153" s="381"/>
      <c r="N153" s="381"/>
    </row>
    <row r="154" spans="1:14" s="302" customFormat="1" ht="13.5">
      <c r="A154" s="297"/>
      <c r="B154" s="275"/>
      <c r="C154" s="372"/>
      <c r="D154" s="372"/>
      <c r="E154" s="299"/>
      <c r="F154" s="372"/>
      <c r="G154" s="300"/>
      <c r="H154" s="381"/>
      <c r="I154" s="381"/>
      <c r="J154" s="381"/>
      <c r="K154" s="381"/>
      <c r="L154" s="381"/>
      <c r="M154" s="381"/>
      <c r="N154" s="381"/>
    </row>
    <row r="155" spans="1:14" s="302" customFormat="1" ht="13.5">
      <c r="A155" s="297"/>
      <c r="B155" s="275"/>
      <c r="C155" s="372"/>
      <c r="D155" s="372"/>
      <c r="E155" s="299"/>
      <c r="F155" s="372"/>
      <c r="G155" s="300"/>
      <c r="H155" s="381"/>
      <c r="I155" s="381"/>
      <c r="J155" s="381"/>
      <c r="K155" s="381"/>
      <c r="L155" s="381"/>
      <c r="M155" s="381"/>
      <c r="N155" s="381"/>
    </row>
    <row r="156" spans="1:14" s="302" customFormat="1" ht="13.5">
      <c r="A156" s="297"/>
      <c r="B156" s="255"/>
      <c r="C156" s="372"/>
      <c r="D156" s="372"/>
      <c r="E156" s="299"/>
      <c r="F156" s="372"/>
      <c r="G156" s="300"/>
      <c r="H156" s="381"/>
      <c r="I156" s="381"/>
      <c r="J156" s="381"/>
      <c r="K156" s="381"/>
      <c r="L156" s="381"/>
      <c r="M156" s="381"/>
      <c r="N156" s="381"/>
    </row>
    <row r="157" spans="1:14" s="302" customFormat="1" ht="13.5">
      <c r="A157" s="294"/>
      <c r="B157" s="275"/>
      <c r="C157" s="255"/>
      <c r="D157" s="255"/>
      <c r="E157" s="296"/>
      <c r="F157" s="255"/>
      <c r="G157" s="370"/>
      <c r="H157" s="381"/>
      <c r="I157" s="381"/>
      <c r="J157" s="381"/>
      <c r="K157" s="381"/>
      <c r="L157" s="381"/>
      <c r="M157" s="381"/>
      <c r="N157" s="381"/>
    </row>
    <row r="158" spans="1:14" s="302" customFormat="1" ht="13.5">
      <c r="A158" s="297"/>
      <c r="B158" s="275"/>
      <c r="C158" s="275"/>
      <c r="D158" s="275"/>
      <c r="E158" s="376"/>
      <c r="F158" s="275"/>
      <c r="G158" s="377"/>
      <c r="H158" s="381"/>
      <c r="I158" s="381"/>
      <c r="J158" s="381"/>
      <c r="K158" s="381"/>
      <c r="L158" s="381"/>
      <c r="M158" s="381"/>
      <c r="N158" s="381"/>
    </row>
    <row r="159" spans="1:14" s="302" customFormat="1" ht="13.5">
      <c r="A159" s="297"/>
      <c r="B159" s="275"/>
      <c r="C159" s="275"/>
      <c r="D159" s="275"/>
      <c r="E159" s="376"/>
      <c r="F159" s="275"/>
      <c r="G159" s="377"/>
      <c r="H159" s="381"/>
      <c r="I159" s="381"/>
      <c r="J159" s="381"/>
      <c r="K159" s="381"/>
      <c r="L159" s="381"/>
      <c r="M159" s="381"/>
      <c r="N159" s="381"/>
    </row>
    <row r="160" spans="1:14" s="302" customFormat="1" ht="13.5">
      <c r="A160" s="297"/>
      <c r="B160" s="275"/>
      <c r="C160" s="275"/>
      <c r="D160" s="275"/>
      <c r="E160" s="376"/>
      <c r="F160" s="275"/>
      <c r="G160" s="377"/>
      <c r="H160" s="381"/>
      <c r="I160" s="381"/>
      <c r="J160" s="381"/>
      <c r="K160" s="381"/>
      <c r="L160" s="381"/>
      <c r="M160" s="381"/>
      <c r="N160" s="381"/>
    </row>
    <row r="161" spans="1:14" s="302" customFormat="1" ht="13.5">
      <c r="A161" s="297"/>
      <c r="B161" s="255"/>
      <c r="C161" s="275"/>
      <c r="D161" s="275"/>
      <c r="E161" s="376"/>
      <c r="F161" s="275"/>
      <c r="G161" s="377"/>
      <c r="H161" s="381"/>
      <c r="I161" s="381"/>
      <c r="J161" s="381"/>
      <c r="K161" s="381"/>
      <c r="L161" s="381"/>
      <c r="M161" s="381"/>
      <c r="N161" s="381"/>
    </row>
    <row r="162" spans="1:14" s="302" customFormat="1" ht="13.5">
      <c r="A162" s="294"/>
      <c r="B162" s="275"/>
      <c r="C162" s="368"/>
      <c r="D162" s="367"/>
      <c r="E162" s="390"/>
      <c r="F162" s="367"/>
      <c r="G162" s="284"/>
      <c r="H162" s="381"/>
      <c r="I162" s="381"/>
      <c r="J162" s="381"/>
      <c r="K162" s="381"/>
      <c r="L162" s="381"/>
      <c r="M162" s="381"/>
      <c r="N162" s="381"/>
    </row>
    <row r="163" spans="1:14" s="302" customFormat="1" ht="13.5">
      <c r="A163" s="297"/>
      <c r="B163" s="275"/>
      <c r="C163" s="372"/>
      <c r="D163" s="372"/>
      <c r="E163" s="299"/>
      <c r="F163" s="374"/>
      <c r="G163" s="300"/>
      <c r="H163" s="381"/>
      <c r="I163" s="381"/>
      <c r="J163" s="381"/>
      <c r="K163" s="381"/>
      <c r="L163" s="381"/>
      <c r="M163" s="381"/>
      <c r="N163" s="381"/>
    </row>
    <row r="164" spans="1:14" s="302" customFormat="1" ht="13.5">
      <c r="A164" s="297"/>
      <c r="B164" s="375"/>
      <c r="C164" s="372"/>
      <c r="D164" s="372"/>
      <c r="E164" s="372"/>
      <c r="F164" s="372"/>
      <c r="G164" s="300"/>
      <c r="H164" s="381"/>
      <c r="I164" s="381"/>
      <c r="J164" s="381"/>
      <c r="K164" s="381"/>
      <c r="L164" s="381"/>
      <c r="M164" s="381"/>
      <c r="N164" s="381"/>
    </row>
    <row r="165" spans="1:14" s="302" customFormat="1" ht="13.5">
      <c r="A165" s="297"/>
      <c r="B165" s="275"/>
      <c r="C165" s="372"/>
      <c r="D165" s="372"/>
      <c r="E165" s="299"/>
      <c r="F165" s="374"/>
      <c r="G165" s="300"/>
      <c r="H165" s="381"/>
      <c r="I165" s="381"/>
      <c r="J165" s="381"/>
      <c r="K165" s="381"/>
      <c r="L165" s="381"/>
      <c r="M165" s="381"/>
      <c r="N165" s="381"/>
    </row>
    <row r="166" spans="1:14" s="302" customFormat="1" ht="13.5">
      <c r="A166" s="297"/>
      <c r="B166" s="255"/>
      <c r="C166" s="372"/>
      <c r="D166" s="372"/>
      <c r="E166" s="299"/>
      <c r="F166" s="372"/>
      <c r="G166" s="300"/>
      <c r="H166" s="381"/>
      <c r="I166" s="381"/>
      <c r="J166" s="381"/>
      <c r="K166" s="381"/>
      <c r="L166" s="381"/>
      <c r="M166" s="381"/>
      <c r="N166" s="381"/>
    </row>
    <row r="167" spans="1:14" s="302" customFormat="1" ht="13.5">
      <c r="A167" s="294"/>
      <c r="B167" s="275"/>
      <c r="C167" s="383"/>
      <c r="D167" s="367"/>
      <c r="E167" s="385"/>
      <c r="F167" s="367"/>
      <c r="G167" s="284"/>
      <c r="H167" s="381"/>
      <c r="I167" s="381"/>
      <c r="J167" s="381"/>
      <c r="K167" s="381"/>
      <c r="L167" s="381"/>
      <c r="M167" s="381"/>
      <c r="N167" s="381"/>
    </row>
    <row r="168" spans="1:14" s="302" customFormat="1" ht="13.5">
      <c r="A168" s="297"/>
      <c r="B168" s="275"/>
      <c r="C168" s="372"/>
      <c r="D168" s="391"/>
      <c r="E168" s="299"/>
      <c r="F168" s="372"/>
      <c r="G168" s="300"/>
      <c r="H168" s="381"/>
      <c r="I168" s="381"/>
      <c r="J168" s="381"/>
      <c r="K168" s="381"/>
      <c r="L168" s="381"/>
      <c r="M168" s="381"/>
      <c r="N168" s="381"/>
    </row>
    <row r="169" spans="1:14" s="302" customFormat="1" ht="13.5">
      <c r="A169" s="297"/>
      <c r="B169" s="275"/>
      <c r="C169" s="372"/>
      <c r="D169" s="391"/>
      <c r="E169" s="299"/>
      <c r="F169" s="372"/>
      <c r="G169" s="300"/>
      <c r="H169" s="381"/>
      <c r="I169" s="381"/>
      <c r="J169" s="381"/>
      <c r="K169" s="381"/>
      <c r="L169" s="381"/>
      <c r="M169" s="381"/>
      <c r="N169" s="381"/>
    </row>
    <row r="170" spans="1:14" s="302" customFormat="1" ht="13.5">
      <c r="A170" s="297"/>
      <c r="B170" s="275"/>
      <c r="C170" s="372"/>
      <c r="D170" s="299"/>
      <c r="E170" s="299"/>
      <c r="F170" s="372"/>
      <c r="G170" s="300"/>
      <c r="H170" s="381"/>
      <c r="I170" s="381"/>
      <c r="J170" s="381"/>
      <c r="K170" s="381"/>
      <c r="L170" s="381"/>
      <c r="M170" s="381"/>
      <c r="N170" s="381"/>
    </row>
    <row r="171" spans="1:14" s="302" customFormat="1" ht="13.5">
      <c r="A171" s="297"/>
      <c r="B171" s="255"/>
      <c r="C171" s="372"/>
      <c r="D171" s="299"/>
      <c r="E171" s="299"/>
      <c r="F171" s="372"/>
      <c r="G171" s="300"/>
      <c r="H171" s="381"/>
      <c r="I171" s="381"/>
      <c r="J171" s="381"/>
      <c r="K171" s="381"/>
      <c r="L171" s="381"/>
      <c r="M171" s="381"/>
      <c r="N171" s="381"/>
    </row>
    <row r="172" spans="1:14" s="302" customFormat="1" ht="13.5">
      <c r="A172" s="294"/>
      <c r="B172" s="275"/>
      <c r="C172" s="383"/>
      <c r="D172" s="367"/>
      <c r="E172" s="382"/>
      <c r="F172" s="367"/>
      <c r="G172" s="284"/>
      <c r="H172" s="381"/>
      <c r="I172" s="381"/>
      <c r="J172" s="381"/>
      <c r="K172" s="381"/>
      <c r="L172" s="381"/>
      <c r="M172" s="381"/>
      <c r="N172" s="381"/>
    </row>
    <row r="173" spans="1:14" s="302" customFormat="1" ht="13.5">
      <c r="A173" s="297"/>
      <c r="B173" s="275"/>
      <c r="C173" s="372"/>
      <c r="D173" s="391"/>
      <c r="E173" s="299"/>
      <c r="F173" s="372"/>
      <c r="G173" s="300"/>
      <c r="H173" s="381"/>
      <c r="I173" s="381"/>
      <c r="J173" s="381"/>
      <c r="K173" s="381"/>
      <c r="L173" s="381"/>
      <c r="M173" s="381"/>
      <c r="N173" s="381"/>
    </row>
    <row r="174" spans="1:14" s="302" customFormat="1" ht="13.5">
      <c r="A174" s="297"/>
      <c r="B174" s="275"/>
      <c r="C174" s="372"/>
      <c r="D174" s="373"/>
      <c r="E174" s="299"/>
      <c r="F174" s="372"/>
      <c r="G174" s="300"/>
      <c r="H174" s="381"/>
      <c r="I174" s="381"/>
      <c r="J174" s="381"/>
      <c r="K174" s="381"/>
      <c r="L174" s="381"/>
      <c r="M174" s="381"/>
      <c r="N174" s="381"/>
    </row>
    <row r="175" spans="1:14" s="302" customFormat="1" ht="13.5">
      <c r="A175" s="297"/>
      <c r="B175" s="255"/>
      <c r="C175" s="372"/>
      <c r="D175" s="372"/>
      <c r="E175" s="299"/>
      <c r="F175" s="372"/>
      <c r="G175" s="300"/>
      <c r="H175" s="381"/>
      <c r="I175" s="381"/>
      <c r="J175" s="381"/>
      <c r="K175" s="381"/>
      <c r="L175" s="381"/>
      <c r="M175" s="381"/>
      <c r="N175" s="381"/>
    </row>
    <row r="176" spans="1:14" s="302" customFormat="1" ht="13.5">
      <c r="A176" s="294"/>
      <c r="B176" s="372"/>
      <c r="C176" s="367"/>
      <c r="D176" s="367"/>
      <c r="E176" s="382"/>
      <c r="F176" s="367"/>
      <c r="G176" s="284"/>
      <c r="H176" s="381"/>
      <c r="I176" s="381"/>
      <c r="J176" s="381"/>
      <c r="K176" s="381"/>
      <c r="L176" s="381"/>
      <c r="M176" s="381"/>
      <c r="N176" s="381"/>
    </row>
    <row r="177" spans="1:14" s="302" customFormat="1" ht="13.5">
      <c r="A177" s="371"/>
      <c r="B177" s="372"/>
      <c r="C177" s="372"/>
      <c r="D177" s="372"/>
      <c r="E177" s="299"/>
      <c r="F177" s="372"/>
      <c r="G177" s="300"/>
      <c r="H177" s="381"/>
      <c r="I177" s="381"/>
      <c r="J177" s="381"/>
      <c r="K177" s="381"/>
      <c r="L177" s="381"/>
      <c r="M177" s="381"/>
      <c r="N177" s="381"/>
    </row>
    <row r="178" spans="1:14" s="302" customFormat="1" ht="13.5">
      <c r="A178" s="371"/>
      <c r="B178" s="372"/>
      <c r="C178" s="372"/>
      <c r="D178" s="372"/>
      <c r="E178" s="299"/>
      <c r="F178" s="372"/>
      <c r="G178" s="300"/>
      <c r="H178" s="381"/>
      <c r="I178" s="381"/>
      <c r="J178" s="381"/>
      <c r="K178" s="381"/>
      <c r="L178" s="381"/>
      <c r="M178" s="381"/>
      <c r="N178" s="381"/>
    </row>
    <row r="179" spans="1:14" s="302" customFormat="1" ht="13.5">
      <c r="A179" s="371"/>
      <c r="B179" s="372"/>
      <c r="C179" s="372"/>
      <c r="D179" s="372"/>
      <c r="E179" s="299"/>
      <c r="F179" s="299"/>
      <c r="G179" s="300"/>
      <c r="H179" s="381"/>
      <c r="I179" s="381"/>
      <c r="J179" s="381"/>
      <c r="K179" s="381"/>
      <c r="L179" s="381"/>
      <c r="M179" s="381"/>
      <c r="N179" s="381"/>
    </row>
    <row r="180" spans="1:14" s="302" customFormat="1" ht="13.5">
      <c r="A180" s="371"/>
      <c r="B180" s="372"/>
      <c r="C180" s="372"/>
      <c r="D180" s="372"/>
      <c r="E180" s="299"/>
      <c r="F180" s="374"/>
      <c r="G180" s="300"/>
      <c r="H180" s="381"/>
      <c r="I180" s="381"/>
      <c r="J180" s="381"/>
      <c r="K180" s="381"/>
      <c r="L180" s="381"/>
      <c r="M180" s="381"/>
      <c r="N180" s="381"/>
    </row>
    <row r="181" spans="1:14" s="302" customFormat="1" ht="13.5">
      <c r="A181" s="371"/>
      <c r="B181" s="255"/>
      <c r="C181" s="372"/>
      <c r="D181" s="372"/>
      <c r="E181" s="299"/>
      <c r="F181" s="372"/>
      <c r="G181" s="300"/>
      <c r="H181" s="381"/>
      <c r="I181" s="381"/>
      <c r="J181" s="381"/>
      <c r="K181" s="381"/>
      <c r="L181" s="381"/>
      <c r="M181" s="381"/>
      <c r="N181" s="381"/>
    </row>
    <row r="182" spans="1:14" s="302" customFormat="1" ht="13.5">
      <c r="A182" s="384"/>
      <c r="B182" s="275"/>
      <c r="C182" s="255"/>
      <c r="D182" s="255"/>
      <c r="E182" s="255"/>
      <c r="F182" s="255"/>
      <c r="G182" s="370"/>
      <c r="H182" s="381"/>
      <c r="I182" s="381"/>
      <c r="J182" s="381"/>
      <c r="K182" s="381"/>
      <c r="L182" s="381"/>
      <c r="M182" s="381"/>
      <c r="N182" s="381"/>
    </row>
    <row r="183" spans="1:14" s="302" customFormat="1" ht="13.5">
      <c r="A183" s="298"/>
      <c r="B183" s="275"/>
      <c r="C183" s="275"/>
      <c r="D183" s="275"/>
      <c r="E183" s="376"/>
      <c r="F183" s="275"/>
      <c r="G183" s="377"/>
      <c r="H183" s="381"/>
      <c r="I183" s="381"/>
      <c r="J183" s="381"/>
      <c r="K183" s="381"/>
      <c r="L183" s="381"/>
      <c r="M183" s="381"/>
      <c r="N183" s="381"/>
    </row>
    <row r="184" spans="1:14" s="302" customFormat="1" ht="13.5">
      <c r="A184" s="298"/>
      <c r="B184" s="275"/>
      <c r="C184" s="275"/>
      <c r="D184" s="275"/>
      <c r="E184" s="376"/>
      <c r="F184" s="275"/>
      <c r="G184" s="377"/>
      <c r="H184" s="381"/>
      <c r="I184" s="381"/>
      <c r="J184" s="381"/>
      <c r="K184" s="381"/>
      <c r="L184" s="381"/>
      <c r="M184" s="381"/>
      <c r="N184" s="381"/>
    </row>
    <row r="185" spans="1:14" s="302" customFormat="1" ht="13.5">
      <c r="A185" s="298"/>
      <c r="B185" s="255"/>
      <c r="C185" s="275"/>
      <c r="D185" s="275"/>
      <c r="E185" s="376"/>
      <c r="F185" s="275"/>
      <c r="G185" s="300"/>
      <c r="H185" s="381"/>
      <c r="I185" s="381"/>
      <c r="J185" s="381"/>
      <c r="K185" s="381"/>
      <c r="L185" s="381"/>
      <c r="M185" s="381"/>
      <c r="N185" s="381"/>
    </row>
    <row r="186" spans="1:14" s="302" customFormat="1" ht="13.5">
      <c r="A186" s="294"/>
      <c r="B186" s="372"/>
      <c r="C186" s="367"/>
      <c r="D186" s="367"/>
      <c r="E186" s="382"/>
      <c r="F186" s="367"/>
      <c r="G186" s="284"/>
      <c r="H186" s="381"/>
      <c r="I186" s="381"/>
      <c r="J186" s="381"/>
      <c r="K186" s="381"/>
      <c r="L186" s="381"/>
      <c r="M186" s="381"/>
      <c r="N186" s="381"/>
    </row>
    <row r="187" spans="1:14" s="302" customFormat="1" ht="13.5">
      <c r="A187" s="371"/>
      <c r="B187" s="372"/>
      <c r="C187" s="372"/>
      <c r="D187" s="372"/>
      <c r="E187" s="299"/>
      <c r="F187" s="372"/>
      <c r="G187" s="300"/>
      <c r="H187" s="381"/>
      <c r="I187" s="381"/>
      <c r="J187" s="381"/>
      <c r="K187" s="381"/>
      <c r="L187" s="381"/>
      <c r="M187" s="381"/>
      <c r="N187" s="381"/>
    </row>
    <row r="188" spans="1:14" s="302" customFormat="1" ht="13.5">
      <c r="A188" s="371"/>
      <c r="B188" s="372"/>
      <c r="C188" s="372"/>
      <c r="D188" s="373"/>
      <c r="E188" s="299"/>
      <c r="F188" s="372"/>
      <c r="G188" s="300"/>
      <c r="H188" s="381"/>
      <c r="I188" s="381"/>
      <c r="J188" s="381"/>
      <c r="K188" s="381"/>
      <c r="L188" s="381"/>
      <c r="M188" s="381"/>
      <c r="N188" s="381"/>
    </row>
    <row r="189" spans="1:14" s="302" customFormat="1" ht="13.5">
      <c r="A189" s="371"/>
      <c r="B189" s="372"/>
      <c r="C189" s="372"/>
      <c r="D189" s="372"/>
      <c r="E189" s="299"/>
      <c r="F189" s="372"/>
      <c r="G189" s="300"/>
      <c r="H189" s="381"/>
      <c r="I189" s="381"/>
      <c r="J189" s="381"/>
      <c r="K189" s="381"/>
      <c r="L189" s="381"/>
      <c r="M189" s="381"/>
      <c r="N189" s="381"/>
    </row>
    <row r="190" spans="1:14" s="302" customFormat="1" ht="13.5">
      <c r="A190" s="371"/>
      <c r="B190" s="372"/>
      <c r="C190" s="372"/>
      <c r="D190" s="372"/>
      <c r="E190" s="299"/>
      <c r="F190" s="372"/>
      <c r="G190" s="300"/>
      <c r="H190" s="381"/>
      <c r="I190" s="381"/>
      <c r="J190" s="381"/>
      <c r="K190" s="381"/>
      <c r="L190" s="381"/>
      <c r="M190" s="381"/>
      <c r="N190" s="381"/>
    </row>
    <row r="191" spans="1:14" s="302" customFormat="1" ht="13.5">
      <c r="A191" s="371"/>
      <c r="B191" s="255"/>
      <c r="C191" s="372"/>
      <c r="D191" s="372"/>
      <c r="E191" s="299"/>
      <c r="F191" s="372"/>
      <c r="G191" s="300"/>
      <c r="H191" s="381"/>
      <c r="I191" s="381"/>
      <c r="J191" s="381"/>
      <c r="K191" s="381"/>
      <c r="L191" s="381"/>
      <c r="M191" s="381"/>
      <c r="N191" s="381"/>
    </row>
    <row r="192" spans="1:14" s="302" customFormat="1" ht="13.5">
      <c r="A192" s="294"/>
      <c r="B192" s="275"/>
      <c r="C192" s="255"/>
      <c r="D192" s="255"/>
      <c r="E192" s="384"/>
      <c r="F192" s="255"/>
      <c r="G192" s="370"/>
      <c r="H192" s="381"/>
      <c r="I192" s="381"/>
      <c r="J192" s="381"/>
      <c r="K192" s="381"/>
      <c r="L192" s="381"/>
      <c r="M192" s="381"/>
      <c r="N192" s="381"/>
    </row>
    <row r="193" spans="1:14" s="302" customFormat="1" ht="13.5">
      <c r="A193" s="297"/>
      <c r="B193" s="275"/>
      <c r="C193" s="275"/>
      <c r="D193" s="275"/>
      <c r="E193" s="376"/>
      <c r="F193" s="275"/>
      <c r="G193" s="377"/>
      <c r="H193" s="381"/>
      <c r="I193" s="381"/>
      <c r="J193" s="381"/>
      <c r="K193" s="381"/>
      <c r="L193" s="381"/>
      <c r="M193" s="381"/>
      <c r="N193" s="381"/>
    </row>
    <row r="194" spans="1:14" s="302" customFormat="1" ht="13.5">
      <c r="A194" s="297"/>
      <c r="B194" s="275"/>
      <c r="C194" s="275"/>
      <c r="D194" s="275"/>
      <c r="E194" s="376"/>
      <c r="F194" s="275"/>
      <c r="G194" s="377"/>
      <c r="H194" s="381"/>
      <c r="I194" s="381"/>
      <c r="J194" s="381"/>
      <c r="K194" s="381"/>
      <c r="L194" s="381"/>
      <c r="M194" s="381"/>
      <c r="N194" s="381"/>
    </row>
    <row r="195" spans="1:14" s="302" customFormat="1" ht="13.5">
      <c r="A195" s="297"/>
      <c r="B195" s="275"/>
      <c r="C195" s="275"/>
      <c r="D195" s="275"/>
      <c r="E195" s="392"/>
      <c r="F195" s="275"/>
      <c r="G195" s="377"/>
      <c r="H195" s="381"/>
      <c r="I195" s="381"/>
      <c r="J195" s="381"/>
      <c r="K195" s="381"/>
      <c r="L195" s="381"/>
      <c r="M195" s="381"/>
      <c r="N195" s="381"/>
    </row>
    <row r="196" spans="1:14" s="302" customFormat="1" ht="13.5">
      <c r="A196" s="297"/>
      <c r="B196" s="255"/>
      <c r="C196" s="275"/>
      <c r="D196" s="275"/>
      <c r="E196" s="388"/>
      <c r="F196" s="275"/>
      <c r="G196" s="377"/>
      <c r="H196" s="381"/>
      <c r="I196" s="381"/>
      <c r="J196" s="381"/>
      <c r="K196" s="381"/>
      <c r="L196" s="381"/>
      <c r="M196" s="381"/>
      <c r="N196" s="381"/>
    </row>
    <row r="197" spans="1:14" s="302" customFormat="1" ht="13.5">
      <c r="A197" s="294"/>
      <c r="B197" s="275"/>
      <c r="C197" s="255"/>
      <c r="D197" s="255"/>
      <c r="E197" s="384"/>
      <c r="F197" s="255"/>
      <c r="G197" s="370"/>
      <c r="H197" s="381"/>
      <c r="I197" s="381"/>
      <c r="J197" s="381"/>
      <c r="K197" s="381"/>
      <c r="L197" s="381"/>
      <c r="M197" s="381"/>
      <c r="N197" s="381"/>
    </row>
    <row r="198" spans="1:14" s="302" customFormat="1" ht="13.5">
      <c r="A198" s="297"/>
      <c r="B198" s="275"/>
      <c r="C198" s="275"/>
      <c r="D198" s="275"/>
      <c r="E198" s="376"/>
      <c r="F198" s="275"/>
      <c r="G198" s="377"/>
      <c r="H198" s="381"/>
      <c r="I198" s="381"/>
      <c r="J198" s="381"/>
      <c r="K198" s="381"/>
      <c r="L198" s="381"/>
      <c r="M198" s="381"/>
      <c r="N198" s="381"/>
    </row>
    <row r="199" spans="1:14" s="302" customFormat="1" ht="13.5">
      <c r="A199" s="297"/>
      <c r="B199" s="275"/>
      <c r="C199" s="275"/>
      <c r="D199" s="275"/>
      <c r="E199" s="376"/>
      <c r="F199" s="275"/>
      <c r="G199" s="377"/>
      <c r="H199" s="381"/>
      <c r="I199" s="381"/>
      <c r="J199" s="381"/>
      <c r="K199" s="381"/>
      <c r="L199" s="381"/>
      <c r="M199" s="381"/>
      <c r="N199" s="381"/>
    </row>
    <row r="200" spans="1:14" s="302" customFormat="1" ht="13.5">
      <c r="A200" s="297"/>
      <c r="B200" s="275"/>
      <c r="C200" s="275"/>
      <c r="D200" s="275"/>
      <c r="E200" s="392"/>
      <c r="F200" s="275"/>
      <c r="G200" s="377"/>
      <c r="H200" s="381"/>
      <c r="I200" s="381"/>
      <c r="J200" s="381"/>
      <c r="K200" s="381"/>
      <c r="L200" s="381"/>
      <c r="M200" s="381"/>
      <c r="N200" s="381"/>
    </row>
    <row r="201" spans="1:14" s="302" customFormat="1" ht="13.5">
      <c r="A201" s="297"/>
      <c r="B201" s="255"/>
      <c r="C201" s="275"/>
      <c r="D201" s="275"/>
      <c r="E201" s="388"/>
      <c r="F201" s="275"/>
      <c r="G201" s="377"/>
      <c r="H201" s="381"/>
      <c r="I201" s="381"/>
      <c r="J201" s="381"/>
      <c r="K201" s="381"/>
      <c r="L201" s="381"/>
      <c r="M201" s="381"/>
      <c r="N201" s="381"/>
    </row>
    <row r="202" spans="1:14" s="302" customFormat="1" ht="13.5">
      <c r="A202" s="384"/>
      <c r="B202" s="275"/>
      <c r="C202" s="367"/>
      <c r="D202" s="367"/>
      <c r="E202" s="382"/>
      <c r="F202" s="367"/>
      <c r="G202" s="284"/>
      <c r="H202" s="381"/>
      <c r="I202" s="381"/>
      <c r="J202" s="381"/>
      <c r="K202" s="381"/>
      <c r="L202" s="381"/>
      <c r="M202" s="381"/>
      <c r="N202" s="381"/>
    </row>
    <row r="203" spans="1:14" s="302" customFormat="1" ht="13.5">
      <c r="A203" s="298"/>
      <c r="B203" s="275"/>
      <c r="C203" s="372"/>
      <c r="D203" s="372"/>
      <c r="E203" s="299"/>
      <c r="F203" s="372"/>
      <c r="G203" s="300"/>
      <c r="H203" s="381"/>
      <c r="I203" s="381"/>
      <c r="J203" s="381"/>
      <c r="K203" s="381"/>
      <c r="L203" s="381"/>
      <c r="M203" s="381"/>
      <c r="N203" s="381"/>
    </row>
    <row r="204" spans="1:14" s="302" customFormat="1" ht="13.5">
      <c r="A204" s="298"/>
      <c r="B204" s="255"/>
      <c r="C204" s="372"/>
      <c r="D204" s="372"/>
      <c r="E204" s="299"/>
      <c r="F204" s="372"/>
      <c r="G204" s="300"/>
      <c r="H204" s="381"/>
      <c r="I204" s="381"/>
      <c r="J204" s="381"/>
      <c r="K204" s="381"/>
      <c r="L204" s="381"/>
      <c r="M204" s="381"/>
      <c r="N204" s="381"/>
    </row>
    <row r="205" spans="1:14" s="302" customFormat="1" ht="13.5">
      <c r="A205" s="294"/>
      <c r="B205" s="275"/>
      <c r="C205" s="367"/>
      <c r="D205" s="367"/>
      <c r="E205" s="367"/>
      <c r="F205" s="367"/>
      <c r="G205" s="284"/>
      <c r="H205" s="381"/>
      <c r="I205" s="381"/>
      <c r="J205" s="381"/>
      <c r="K205" s="381"/>
      <c r="L205" s="381"/>
      <c r="M205" s="381"/>
      <c r="N205" s="381"/>
    </row>
    <row r="206" spans="1:14" s="302" customFormat="1" ht="13.5">
      <c r="A206" s="297"/>
      <c r="B206" s="275"/>
      <c r="C206" s="372"/>
      <c r="D206" s="372"/>
      <c r="E206" s="299"/>
      <c r="F206" s="372"/>
      <c r="G206" s="300"/>
      <c r="H206" s="381"/>
      <c r="I206" s="381"/>
      <c r="J206" s="381"/>
      <c r="K206" s="381"/>
      <c r="L206" s="381"/>
      <c r="M206" s="381"/>
      <c r="N206" s="381"/>
    </row>
    <row r="207" spans="1:14" s="302" customFormat="1" ht="13.5">
      <c r="A207" s="297"/>
      <c r="B207" s="275"/>
      <c r="C207" s="372"/>
      <c r="D207" s="372"/>
      <c r="E207" s="299"/>
      <c r="F207" s="372"/>
      <c r="G207" s="300"/>
      <c r="H207" s="381"/>
      <c r="I207" s="381"/>
      <c r="J207" s="381"/>
      <c r="K207" s="381"/>
      <c r="L207" s="381"/>
      <c r="M207" s="381"/>
      <c r="N207" s="381"/>
    </row>
    <row r="208" spans="1:14" s="302" customFormat="1" ht="13.5">
      <c r="A208" s="297"/>
      <c r="B208" s="275"/>
      <c r="C208" s="372"/>
      <c r="D208" s="372"/>
      <c r="E208" s="299"/>
      <c r="F208" s="372"/>
      <c r="G208" s="300"/>
      <c r="H208" s="381"/>
      <c r="I208" s="381"/>
      <c r="J208" s="381"/>
      <c r="K208" s="381"/>
      <c r="L208" s="381"/>
      <c r="M208" s="381"/>
      <c r="N208" s="381"/>
    </row>
    <row r="209" spans="1:14" s="302" customFormat="1" ht="13.5">
      <c r="A209" s="297"/>
      <c r="B209" s="275"/>
      <c r="C209" s="372"/>
      <c r="D209" s="372"/>
      <c r="E209" s="299"/>
      <c r="F209" s="372"/>
      <c r="G209" s="300"/>
      <c r="H209" s="381"/>
      <c r="I209" s="381"/>
      <c r="J209" s="381"/>
      <c r="K209" s="381"/>
      <c r="L209" s="381"/>
      <c r="M209" s="381"/>
      <c r="N209" s="381"/>
    </row>
    <row r="210" spans="1:14" s="302" customFormat="1" ht="13.5">
      <c r="A210" s="297"/>
      <c r="B210" s="275"/>
      <c r="C210" s="372"/>
      <c r="D210" s="372"/>
      <c r="E210" s="299"/>
      <c r="F210" s="372"/>
      <c r="G210" s="300"/>
      <c r="H210" s="381"/>
      <c r="I210" s="381"/>
      <c r="J210" s="381"/>
      <c r="K210" s="381"/>
      <c r="L210" s="381"/>
      <c r="M210" s="381"/>
      <c r="N210" s="381"/>
    </row>
    <row r="211" spans="1:14" s="302" customFormat="1" ht="13.5">
      <c r="A211" s="297"/>
      <c r="B211" s="275"/>
      <c r="C211" s="372"/>
      <c r="D211" s="372"/>
      <c r="E211" s="299"/>
      <c r="F211" s="372"/>
      <c r="G211" s="300"/>
      <c r="H211" s="381"/>
      <c r="I211" s="381"/>
      <c r="J211" s="381"/>
      <c r="K211" s="381"/>
      <c r="L211" s="381"/>
      <c r="M211" s="381"/>
      <c r="N211" s="381"/>
    </row>
    <row r="212" spans="1:14" s="302" customFormat="1" ht="13.5">
      <c r="A212" s="297"/>
      <c r="B212" s="255"/>
      <c r="C212" s="372"/>
      <c r="D212" s="372"/>
      <c r="E212" s="299"/>
      <c r="F212" s="372"/>
      <c r="G212" s="300"/>
      <c r="H212" s="381"/>
      <c r="I212" s="381"/>
      <c r="J212" s="381"/>
      <c r="K212" s="381"/>
      <c r="L212" s="381"/>
      <c r="M212" s="381"/>
      <c r="N212" s="381"/>
    </row>
    <row r="213" spans="1:14" s="302" customFormat="1" ht="13.5">
      <c r="A213" s="384"/>
      <c r="B213" s="275"/>
      <c r="C213" s="367"/>
      <c r="D213" s="367"/>
      <c r="E213" s="382"/>
      <c r="F213" s="367"/>
      <c r="G213" s="284"/>
      <c r="H213" s="381"/>
      <c r="I213" s="381"/>
      <c r="J213" s="381"/>
      <c r="K213" s="381"/>
      <c r="L213" s="381"/>
      <c r="M213" s="381"/>
      <c r="N213" s="381"/>
    </row>
    <row r="214" spans="1:14" s="302" customFormat="1" ht="13.5">
      <c r="A214" s="298"/>
      <c r="B214" s="275"/>
      <c r="C214" s="372"/>
      <c r="D214" s="372"/>
      <c r="E214" s="299"/>
      <c r="F214" s="372"/>
      <c r="G214" s="300"/>
      <c r="H214" s="381"/>
      <c r="I214" s="381"/>
      <c r="J214" s="381"/>
      <c r="K214" s="381"/>
      <c r="L214" s="381"/>
      <c r="M214" s="381"/>
      <c r="N214" s="381"/>
    </row>
    <row r="215" spans="1:14" s="302" customFormat="1" ht="13.5">
      <c r="A215" s="298"/>
      <c r="B215" s="255"/>
      <c r="C215" s="372"/>
      <c r="D215" s="372"/>
      <c r="E215" s="299"/>
      <c r="F215" s="372"/>
      <c r="G215" s="300"/>
      <c r="H215" s="381"/>
      <c r="I215" s="381"/>
      <c r="J215" s="381"/>
      <c r="K215" s="381"/>
      <c r="L215" s="381"/>
      <c r="M215" s="381"/>
      <c r="N215" s="381"/>
    </row>
    <row r="216" spans="1:14" s="302" customFormat="1" ht="13.5">
      <c r="A216" s="294"/>
      <c r="B216" s="275"/>
      <c r="C216" s="295"/>
      <c r="D216" s="255"/>
      <c r="E216" s="296"/>
      <c r="F216" s="255"/>
      <c r="G216" s="370"/>
      <c r="H216" s="381"/>
      <c r="I216" s="381"/>
      <c r="J216" s="381"/>
      <c r="K216" s="381"/>
      <c r="L216" s="381"/>
      <c r="M216" s="381"/>
      <c r="N216" s="381"/>
    </row>
    <row r="217" spans="1:14" s="302" customFormat="1" ht="13.5">
      <c r="A217" s="297"/>
      <c r="B217" s="275"/>
      <c r="C217" s="275"/>
      <c r="D217" s="275"/>
      <c r="E217" s="376"/>
      <c r="F217" s="275"/>
      <c r="G217" s="377"/>
      <c r="H217" s="381"/>
      <c r="I217" s="381"/>
      <c r="J217" s="381"/>
      <c r="K217" s="381"/>
      <c r="L217" s="381"/>
      <c r="M217" s="381"/>
      <c r="N217" s="381"/>
    </row>
    <row r="218" spans="1:14" s="302" customFormat="1" ht="13.5">
      <c r="A218" s="297"/>
      <c r="B218" s="275"/>
      <c r="C218" s="275"/>
      <c r="D218" s="275"/>
      <c r="E218" s="376"/>
      <c r="F218" s="275"/>
      <c r="G218" s="377"/>
      <c r="H218" s="381"/>
      <c r="I218" s="381"/>
      <c r="J218" s="381"/>
      <c r="K218" s="381"/>
      <c r="L218" s="381"/>
      <c r="M218" s="381"/>
      <c r="N218" s="381"/>
    </row>
    <row r="219" spans="1:14" s="302" customFormat="1" ht="13.5">
      <c r="A219" s="297"/>
      <c r="B219" s="275"/>
      <c r="C219" s="275"/>
      <c r="D219" s="275"/>
      <c r="E219" s="376"/>
      <c r="F219" s="388"/>
      <c r="G219" s="377"/>
      <c r="H219" s="381"/>
      <c r="I219" s="381"/>
      <c r="J219" s="381"/>
      <c r="K219" s="381"/>
      <c r="L219" s="381"/>
      <c r="M219" s="381"/>
      <c r="N219" s="381"/>
    </row>
    <row r="220" spans="1:14" s="302" customFormat="1" ht="13.5">
      <c r="A220" s="297"/>
      <c r="B220" s="275"/>
      <c r="C220" s="275"/>
      <c r="D220" s="275"/>
      <c r="E220" s="376"/>
      <c r="F220" s="388"/>
      <c r="G220" s="377"/>
      <c r="H220" s="381"/>
      <c r="I220" s="381"/>
      <c r="J220" s="381"/>
      <c r="K220" s="381"/>
      <c r="L220" s="381"/>
      <c r="M220" s="381"/>
      <c r="N220" s="381"/>
    </row>
    <row r="221" spans="1:14" s="302" customFormat="1" ht="13.5">
      <c r="A221" s="297"/>
      <c r="B221" s="255"/>
      <c r="C221" s="275"/>
      <c r="D221" s="275"/>
      <c r="E221" s="376"/>
      <c r="F221" s="275"/>
      <c r="G221" s="377"/>
      <c r="H221" s="381"/>
      <c r="I221" s="381"/>
      <c r="J221" s="381"/>
      <c r="K221" s="381"/>
      <c r="L221" s="381"/>
      <c r="M221" s="381"/>
      <c r="N221" s="381"/>
    </row>
    <row r="222" spans="1:14" s="302" customFormat="1" ht="13.5">
      <c r="A222" s="294"/>
      <c r="B222" s="275"/>
      <c r="C222" s="383"/>
      <c r="D222" s="367"/>
      <c r="E222" s="382"/>
      <c r="F222" s="367"/>
      <c r="G222" s="284"/>
      <c r="H222" s="381"/>
      <c r="I222" s="381"/>
      <c r="J222" s="381"/>
      <c r="K222" s="381"/>
      <c r="L222" s="381"/>
      <c r="M222" s="381"/>
      <c r="N222" s="381"/>
    </row>
    <row r="223" spans="1:14" s="302" customFormat="1" ht="13.5">
      <c r="A223" s="297"/>
      <c r="B223" s="275"/>
      <c r="C223" s="372"/>
      <c r="D223" s="391"/>
      <c r="E223" s="299"/>
      <c r="F223" s="372"/>
      <c r="G223" s="300"/>
      <c r="H223" s="381"/>
      <c r="I223" s="381"/>
      <c r="J223" s="381"/>
      <c r="K223" s="381"/>
      <c r="L223" s="381"/>
      <c r="M223" s="381"/>
      <c r="N223" s="381"/>
    </row>
    <row r="224" spans="1:14" s="302" customFormat="1" ht="13.5">
      <c r="A224" s="297"/>
      <c r="B224" s="275"/>
      <c r="C224" s="372"/>
      <c r="D224" s="373"/>
      <c r="E224" s="299"/>
      <c r="F224" s="372"/>
      <c r="G224" s="300"/>
      <c r="H224" s="381"/>
      <c r="I224" s="381"/>
      <c r="J224" s="381"/>
      <c r="K224" s="381"/>
      <c r="L224" s="381"/>
      <c r="M224" s="381"/>
      <c r="N224" s="381"/>
    </row>
    <row r="225" spans="1:14" s="302" customFormat="1" ht="13.5">
      <c r="A225" s="297"/>
      <c r="B225" s="255"/>
      <c r="C225" s="372"/>
      <c r="D225" s="372"/>
      <c r="E225" s="299"/>
      <c r="F225" s="372"/>
      <c r="G225" s="300"/>
      <c r="H225" s="381"/>
      <c r="I225" s="381"/>
      <c r="J225" s="381"/>
      <c r="K225" s="381"/>
      <c r="L225" s="381"/>
      <c r="M225" s="381"/>
      <c r="N225" s="381"/>
    </row>
    <row r="226" spans="1:14" s="302" customFormat="1" ht="13.5">
      <c r="A226" s="294"/>
      <c r="B226" s="275"/>
      <c r="C226" s="295"/>
      <c r="D226" s="255"/>
      <c r="E226" s="296"/>
      <c r="F226" s="255"/>
      <c r="G226" s="284"/>
      <c r="H226" s="381"/>
      <c r="I226" s="381"/>
      <c r="J226" s="381"/>
      <c r="K226" s="381"/>
      <c r="L226" s="381"/>
      <c r="M226" s="381"/>
      <c r="N226" s="381"/>
    </row>
    <row r="227" spans="1:14" s="302" customFormat="1" ht="13.5">
      <c r="A227" s="297"/>
      <c r="B227" s="275"/>
      <c r="C227" s="275"/>
      <c r="D227" s="275"/>
      <c r="E227" s="299"/>
      <c r="F227" s="275"/>
      <c r="G227" s="300"/>
      <c r="H227" s="381"/>
      <c r="I227" s="381"/>
      <c r="J227" s="381"/>
      <c r="K227" s="381"/>
      <c r="L227" s="381"/>
      <c r="M227" s="381"/>
      <c r="N227" s="381"/>
    </row>
    <row r="228" spans="1:14" s="302" customFormat="1" ht="13.5">
      <c r="A228" s="297"/>
      <c r="B228" s="275"/>
      <c r="C228" s="375"/>
      <c r="D228" s="275"/>
      <c r="E228" s="376"/>
      <c r="F228" s="275"/>
      <c r="G228" s="377"/>
      <c r="H228" s="381"/>
      <c r="I228" s="381"/>
      <c r="J228" s="381"/>
      <c r="K228" s="381"/>
      <c r="L228" s="381"/>
      <c r="M228" s="381"/>
      <c r="N228" s="381"/>
    </row>
    <row r="229" spans="1:14" s="302" customFormat="1" ht="13.5">
      <c r="A229" s="297"/>
      <c r="B229" s="275"/>
      <c r="C229" s="275"/>
      <c r="D229" s="275"/>
      <c r="E229" s="376"/>
      <c r="F229" s="275"/>
      <c r="G229" s="300"/>
      <c r="H229" s="381"/>
      <c r="I229" s="381"/>
      <c r="J229" s="381"/>
      <c r="K229" s="381"/>
      <c r="L229" s="381"/>
      <c r="M229" s="381"/>
      <c r="N229" s="381"/>
    </row>
    <row r="230" spans="1:14" s="302" customFormat="1" ht="13.5">
      <c r="A230" s="297"/>
      <c r="B230" s="275"/>
      <c r="C230" s="275"/>
      <c r="D230" s="275"/>
      <c r="E230" s="376"/>
      <c r="F230" s="275"/>
      <c r="G230" s="300"/>
      <c r="H230" s="381"/>
      <c r="I230" s="381"/>
      <c r="J230" s="381"/>
      <c r="K230" s="381"/>
      <c r="L230" s="381"/>
      <c r="M230" s="381"/>
      <c r="N230" s="381"/>
    </row>
    <row r="231" spans="1:14" s="302" customFormat="1" ht="13.5">
      <c r="A231" s="297"/>
      <c r="B231" s="255"/>
      <c r="C231" s="372"/>
      <c r="D231" s="275"/>
      <c r="E231" s="376"/>
      <c r="F231" s="275"/>
      <c r="G231" s="300"/>
      <c r="H231" s="381"/>
      <c r="I231" s="381"/>
      <c r="J231" s="381"/>
      <c r="K231" s="381"/>
      <c r="L231" s="381"/>
      <c r="M231" s="381"/>
      <c r="N231" s="381"/>
    </row>
    <row r="232" spans="1:14" s="302" customFormat="1" ht="13.5">
      <c r="A232" s="294"/>
      <c r="B232" s="275"/>
      <c r="C232" s="255"/>
      <c r="D232" s="255"/>
      <c r="E232" s="393"/>
      <c r="F232" s="255"/>
      <c r="G232" s="370"/>
      <c r="H232" s="381"/>
      <c r="I232" s="381"/>
      <c r="J232" s="381"/>
      <c r="K232" s="381"/>
      <c r="L232" s="381"/>
      <c r="M232" s="381"/>
      <c r="N232" s="381"/>
    </row>
    <row r="233" spans="1:14" s="302" customFormat="1" ht="13.5">
      <c r="A233" s="297"/>
      <c r="B233" s="275"/>
      <c r="C233" s="275"/>
      <c r="D233" s="275"/>
      <c r="E233" s="376"/>
      <c r="F233" s="275"/>
      <c r="G233" s="377"/>
      <c r="H233" s="381"/>
      <c r="I233" s="381"/>
      <c r="J233" s="381"/>
      <c r="K233" s="381"/>
      <c r="L233" s="381"/>
      <c r="M233" s="381"/>
      <c r="N233" s="381"/>
    </row>
    <row r="234" spans="1:14" s="302" customFormat="1" ht="13.5">
      <c r="A234" s="297"/>
      <c r="B234" s="275"/>
      <c r="C234" s="275"/>
      <c r="D234" s="275"/>
      <c r="E234" s="376"/>
      <c r="F234" s="275"/>
      <c r="G234" s="377"/>
      <c r="H234" s="381"/>
      <c r="I234" s="381"/>
      <c r="J234" s="381"/>
      <c r="K234" s="381"/>
      <c r="L234" s="381"/>
      <c r="M234" s="381"/>
      <c r="N234" s="381"/>
    </row>
    <row r="235" spans="1:14" s="302" customFormat="1" ht="13.5">
      <c r="A235" s="297"/>
      <c r="B235" s="275"/>
      <c r="C235" s="275"/>
      <c r="D235" s="275"/>
      <c r="E235" s="376"/>
      <c r="F235" s="275"/>
      <c r="G235" s="377"/>
      <c r="H235" s="381"/>
      <c r="I235" s="381"/>
      <c r="J235" s="381"/>
      <c r="K235" s="381"/>
      <c r="L235" s="381"/>
      <c r="M235" s="381"/>
      <c r="N235" s="381"/>
    </row>
    <row r="236" spans="1:14" s="302" customFormat="1" ht="13.5">
      <c r="A236" s="297"/>
      <c r="B236" s="275"/>
      <c r="C236" s="275"/>
      <c r="D236" s="275"/>
      <c r="E236" s="388"/>
      <c r="F236" s="275"/>
      <c r="G236" s="377"/>
      <c r="H236" s="381"/>
      <c r="I236" s="381"/>
      <c r="J236" s="381"/>
      <c r="K236" s="381"/>
      <c r="L236" s="381"/>
      <c r="M236" s="381"/>
      <c r="N236" s="381"/>
    </row>
    <row r="237" spans="1:14" s="302" customFormat="1" ht="13.5">
      <c r="A237" s="297"/>
      <c r="B237" s="255"/>
      <c r="C237" s="275"/>
      <c r="D237" s="275"/>
      <c r="E237" s="376"/>
      <c r="F237" s="275"/>
      <c r="G237" s="377"/>
      <c r="H237" s="381"/>
      <c r="I237" s="381"/>
      <c r="J237" s="381"/>
      <c r="K237" s="381"/>
      <c r="L237" s="381"/>
      <c r="M237" s="381"/>
      <c r="N237" s="381"/>
    </row>
    <row r="238" spans="1:14" s="302" customFormat="1" ht="13.5">
      <c r="A238" s="294"/>
      <c r="B238" s="275"/>
      <c r="C238" s="367"/>
      <c r="D238" s="367"/>
      <c r="E238" s="382"/>
      <c r="F238" s="367"/>
      <c r="G238" s="284"/>
      <c r="H238" s="381"/>
      <c r="I238" s="381"/>
      <c r="J238" s="381"/>
      <c r="K238" s="381"/>
      <c r="L238" s="381"/>
      <c r="M238" s="381"/>
      <c r="N238" s="381"/>
    </row>
    <row r="239" spans="1:14" s="302" customFormat="1" ht="13.5">
      <c r="A239" s="297"/>
      <c r="B239" s="275"/>
      <c r="C239" s="372"/>
      <c r="D239" s="372"/>
      <c r="E239" s="299"/>
      <c r="F239" s="372"/>
      <c r="G239" s="300"/>
      <c r="H239" s="381"/>
      <c r="I239" s="381"/>
      <c r="J239" s="381"/>
      <c r="K239" s="381"/>
      <c r="L239" s="381"/>
      <c r="M239" s="381"/>
      <c r="N239" s="381"/>
    </row>
    <row r="240" spans="1:14" s="302" customFormat="1" ht="13.5">
      <c r="A240" s="297"/>
      <c r="B240" s="275"/>
      <c r="C240" s="372"/>
      <c r="D240" s="373"/>
      <c r="E240" s="299"/>
      <c r="F240" s="372"/>
      <c r="G240" s="300"/>
      <c r="H240" s="381"/>
      <c r="I240" s="381"/>
      <c r="J240" s="381"/>
      <c r="K240" s="381"/>
      <c r="L240" s="381"/>
      <c r="M240" s="381"/>
      <c r="N240" s="381"/>
    </row>
    <row r="241" spans="1:14" s="302" customFormat="1" ht="13.5">
      <c r="A241" s="297"/>
      <c r="B241" s="275"/>
      <c r="C241" s="372"/>
      <c r="D241" s="372"/>
      <c r="E241" s="299"/>
      <c r="F241" s="372"/>
      <c r="G241" s="300"/>
      <c r="H241" s="381"/>
      <c r="I241" s="381"/>
      <c r="J241" s="381"/>
      <c r="K241" s="381"/>
      <c r="L241" s="381"/>
      <c r="M241" s="381"/>
      <c r="N241" s="381"/>
    </row>
    <row r="242" spans="1:14" s="302" customFormat="1" ht="13.5">
      <c r="A242" s="297"/>
      <c r="B242" s="275"/>
      <c r="C242" s="372"/>
      <c r="D242" s="372"/>
      <c r="E242" s="299"/>
      <c r="F242" s="374"/>
      <c r="G242" s="300"/>
      <c r="H242" s="381"/>
      <c r="I242" s="381"/>
      <c r="J242" s="381"/>
      <c r="K242" s="381"/>
      <c r="L242" s="381"/>
      <c r="M242" s="381"/>
      <c r="N242" s="381"/>
    </row>
    <row r="243" spans="1:14" s="302" customFormat="1" ht="13.5">
      <c r="A243" s="297"/>
      <c r="B243" s="275"/>
      <c r="C243" s="372"/>
      <c r="D243" s="372"/>
      <c r="E243" s="299"/>
      <c r="F243" s="299"/>
      <c r="G243" s="300"/>
      <c r="H243" s="381"/>
      <c r="I243" s="381"/>
      <c r="J243" s="381"/>
      <c r="K243" s="381"/>
      <c r="L243" s="381"/>
      <c r="M243" s="381"/>
      <c r="N243" s="381"/>
    </row>
    <row r="244" spans="1:14" s="302" customFormat="1" ht="13.5">
      <c r="A244" s="297"/>
      <c r="B244" s="255"/>
      <c r="C244" s="372"/>
      <c r="D244" s="372"/>
      <c r="E244" s="299"/>
      <c r="F244" s="372"/>
      <c r="G244" s="300"/>
      <c r="H244" s="381"/>
      <c r="I244" s="381"/>
      <c r="J244" s="381"/>
      <c r="K244" s="381"/>
      <c r="L244" s="381"/>
      <c r="M244" s="381"/>
      <c r="N244" s="381"/>
    </row>
    <row r="245" spans="1:14" s="302" customFormat="1" ht="13.5">
      <c r="A245" s="294"/>
      <c r="B245" s="375"/>
      <c r="C245" s="367"/>
      <c r="D245" s="367"/>
      <c r="E245" s="382"/>
      <c r="F245" s="367"/>
      <c r="G245" s="284"/>
      <c r="H245" s="381"/>
      <c r="I245" s="381"/>
      <c r="J245" s="381"/>
      <c r="K245" s="381"/>
      <c r="L245" s="381"/>
      <c r="M245" s="381"/>
      <c r="N245" s="381"/>
    </row>
    <row r="246" spans="1:14" s="302" customFormat="1" ht="13.5">
      <c r="A246" s="297"/>
      <c r="B246" s="255"/>
      <c r="C246" s="372"/>
      <c r="D246" s="372"/>
      <c r="E246" s="394"/>
      <c r="F246" s="372"/>
      <c r="G246" s="300"/>
      <c r="H246" s="381"/>
      <c r="I246" s="381"/>
      <c r="J246" s="381"/>
      <c r="K246" s="381"/>
      <c r="L246" s="381"/>
      <c r="M246" s="381"/>
      <c r="N246" s="381"/>
    </row>
    <row r="247" spans="1:14" s="302" customFormat="1" ht="13.5">
      <c r="A247" s="384"/>
      <c r="B247" s="275"/>
      <c r="C247" s="367"/>
      <c r="D247" s="367"/>
      <c r="E247" s="289"/>
      <c r="F247" s="367"/>
      <c r="G247" s="284"/>
      <c r="H247" s="381"/>
      <c r="I247" s="381"/>
      <c r="J247" s="381"/>
      <c r="K247" s="381"/>
      <c r="L247" s="381"/>
      <c r="M247" s="381"/>
      <c r="N247" s="381"/>
    </row>
    <row r="248" spans="1:14" s="302" customFormat="1" ht="13.5">
      <c r="A248" s="298"/>
      <c r="B248" s="255"/>
      <c r="C248" s="372"/>
      <c r="D248" s="372"/>
      <c r="E248" s="374"/>
      <c r="F248" s="372"/>
      <c r="G248" s="300"/>
      <c r="H248" s="381"/>
      <c r="I248" s="381"/>
      <c r="J248" s="381"/>
      <c r="K248" s="381"/>
      <c r="L248" s="381"/>
      <c r="M248" s="381"/>
      <c r="N248" s="381"/>
    </row>
    <row r="249" spans="1:14" s="302" customFormat="1" ht="13.5">
      <c r="A249" s="294"/>
      <c r="B249" s="275"/>
      <c r="C249" s="255"/>
      <c r="D249" s="255"/>
      <c r="E249" s="384"/>
      <c r="F249" s="255"/>
      <c r="G249" s="370"/>
      <c r="H249" s="381"/>
      <c r="I249" s="381"/>
      <c r="J249" s="381"/>
      <c r="K249" s="381"/>
      <c r="L249" s="381"/>
      <c r="M249" s="381"/>
      <c r="N249" s="381"/>
    </row>
    <row r="250" spans="1:14" s="302" customFormat="1" ht="13.5">
      <c r="A250" s="297"/>
      <c r="B250" s="275"/>
      <c r="C250" s="275"/>
      <c r="D250" s="275"/>
      <c r="E250" s="387"/>
      <c r="F250" s="275"/>
      <c r="G250" s="377"/>
      <c r="H250" s="381"/>
      <c r="I250" s="381"/>
      <c r="J250" s="381"/>
      <c r="K250" s="381"/>
      <c r="L250" s="381"/>
      <c r="M250" s="381"/>
      <c r="N250" s="381"/>
    </row>
    <row r="251" spans="1:14" s="302" customFormat="1" ht="13.5">
      <c r="A251" s="297"/>
      <c r="B251" s="275"/>
      <c r="C251" s="275"/>
      <c r="D251" s="275"/>
      <c r="E251" s="387"/>
      <c r="F251" s="275"/>
      <c r="G251" s="377"/>
      <c r="H251" s="381"/>
      <c r="I251" s="381"/>
      <c r="J251" s="381"/>
      <c r="K251" s="381"/>
      <c r="L251" s="381"/>
      <c r="M251" s="381"/>
      <c r="N251" s="381"/>
    </row>
    <row r="252" spans="1:14" s="302" customFormat="1" ht="13.5">
      <c r="A252" s="297"/>
      <c r="B252" s="275"/>
      <c r="C252" s="275"/>
      <c r="D252" s="275"/>
      <c r="E252" s="387"/>
      <c r="F252" s="275"/>
      <c r="G252" s="377"/>
      <c r="H252" s="381"/>
      <c r="I252" s="381"/>
      <c r="J252" s="381"/>
      <c r="K252" s="381"/>
      <c r="L252" s="381"/>
      <c r="M252" s="381"/>
      <c r="N252" s="381"/>
    </row>
    <row r="253" spans="1:14" s="302" customFormat="1" ht="13.5">
      <c r="A253" s="297"/>
      <c r="B253" s="275"/>
      <c r="C253" s="275"/>
      <c r="D253" s="275"/>
      <c r="E253" s="387"/>
      <c r="F253" s="275"/>
      <c r="G253" s="377"/>
      <c r="H253" s="381"/>
      <c r="I253" s="381"/>
      <c r="J253" s="381"/>
      <c r="K253" s="381"/>
      <c r="L253" s="381"/>
      <c r="M253" s="381"/>
      <c r="N253" s="381"/>
    </row>
    <row r="254" spans="1:14" s="302" customFormat="1" ht="13.5">
      <c r="A254" s="297"/>
      <c r="B254" s="255"/>
      <c r="C254" s="275"/>
      <c r="D254" s="275"/>
      <c r="E254" s="387"/>
      <c r="F254" s="275"/>
      <c r="G254" s="377"/>
      <c r="H254" s="381"/>
      <c r="I254" s="381"/>
      <c r="J254" s="381"/>
      <c r="K254" s="381"/>
      <c r="L254" s="381"/>
      <c r="M254" s="381"/>
      <c r="N254" s="381"/>
    </row>
    <row r="255" spans="1:14" s="302" customFormat="1" ht="13.5">
      <c r="A255" s="294"/>
      <c r="B255" s="275"/>
      <c r="C255" s="255"/>
      <c r="D255" s="255"/>
      <c r="E255" s="296"/>
      <c r="F255" s="255"/>
      <c r="G255" s="370"/>
      <c r="H255" s="381"/>
      <c r="I255" s="381"/>
      <c r="J255" s="381"/>
      <c r="K255" s="381"/>
      <c r="L255" s="381"/>
      <c r="M255" s="381"/>
      <c r="N255" s="381"/>
    </row>
    <row r="256" spans="1:14" s="302" customFormat="1" ht="13.5">
      <c r="A256" s="297"/>
      <c r="B256" s="275"/>
      <c r="C256" s="275"/>
      <c r="D256" s="275"/>
      <c r="E256" s="376"/>
      <c r="F256" s="275"/>
      <c r="G256" s="377"/>
      <c r="H256" s="381"/>
      <c r="I256" s="381"/>
      <c r="J256" s="381"/>
      <c r="K256" s="381"/>
      <c r="L256" s="381"/>
      <c r="M256" s="381"/>
      <c r="N256" s="381"/>
    </row>
    <row r="257" spans="1:14" s="302" customFormat="1" ht="13.5">
      <c r="A257" s="297"/>
      <c r="B257" s="275"/>
      <c r="C257" s="275"/>
      <c r="D257" s="275"/>
      <c r="E257" s="376"/>
      <c r="F257" s="275"/>
      <c r="G257" s="377"/>
      <c r="H257" s="381"/>
      <c r="I257" s="381"/>
      <c r="J257" s="381"/>
      <c r="K257" s="381"/>
      <c r="L257" s="381"/>
      <c r="M257" s="381"/>
      <c r="N257" s="381"/>
    </row>
    <row r="258" spans="1:14" s="302" customFormat="1" ht="13.5">
      <c r="A258" s="297"/>
      <c r="B258" s="275"/>
      <c r="C258" s="275"/>
      <c r="D258" s="275"/>
      <c r="E258" s="376"/>
      <c r="F258" s="275"/>
      <c r="G258" s="377"/>
      <c r="H258" s="381"/>
      <c r="I258" s="381"/>
      <c r="J258" s="381"/>
      <c r="K258" s="381"/>
      <c r="L258" s="381"/>
      <c r="M258" s="381"/>
      <c r="N258" s="381"/>
    </row>
    <row r="259" spans="1:14" s="302" customFormat="1" ht="13.5">
      <c r="A259" s="297"/>
      <c r="B259" s="275"/>
      <c r="C259" s="275"/>
      <c r="D259" s="275"/>
      <c r="E259" s="376"/>
      <c r="F259" s="275"/>
      <c r="G259" s="377"/>
      <c r="H259" s="381"/>
      <c r="I259" s="381"/>
      <c r="J259" s="381"/>
      <c r="K259" s="381"/>
      <c r="L259" s="381"/>
      <c r="M259" s="381"/>
      <c r="N259" s="381"/>
    </row>
    <row r="260" spans="1:14" s="302" customFormat="1" ht="13.5">
      <c r="A260" s="297"/>
      <c r="B260" s="255"/>
      <c r="C260" s="275"/>
      <c r="D260" s="275"/>
      <c r="E260" s="376"/>
      <c r="F260" s="275"/>
      <c r="G260" s="377"/>
      <c r="H260" s="381"/>
      <c r="I260" s="381"/>
      <c r="J260" s="381"/>
      <c r="K260" s="381"/>
      <c r="L260" s="381"/>
      <c r="M260" s="381"/>
      <c r="N260" s="381"/>
    </row>
    <row r="261" spans="1:14" s="302" customFormat="1" ht="13.5">
      <c r="A261" s="294"/>
      <c r="B261" s="372"/>
      <c r="C261" s="255"/>
      <c r="D261" s="255"/>
      <c r="E261" s="296"/>
      <c r="F261" s="255"/>
      <c r="G261" s="284"/>
      <c r="H261" s="381"/>
      <c r="I261" s="381"/>
      <c r="J261" s="381"/>
      <c r="K261" s="381"/>
      <c r="L261" s="381"/>
      <c r="M261" s="381"/>
      <c r="N261" s="381"/>
    </row>
    <row r="262" spans="1:14" s="302" customFormat="1" ht="13.5">
      <c r="A262" s="297"/>
      <c r="B262" s="372"/>
      <c r="C262" s="372"/>
      <c r="D262" s="372"/>
      <c r="E262" s="299"/>
      <c r="F262" s="372"/>
      <c r="G262" s="300"/>
      <c r="H262" s="381"/>
      <c r="I262" s="381"/>
      <c r="J262" s="381"/>
      <c r="K262" s="381"/>
      <c r="L262" s="381"/>
      <c r="M262" s="381"/>
      <c r="N262" s="381"/>
    </row>
    <row r="263" spans="1:14" s="302" customFormat="1" ht="13.5">
      <c r="A263" s="297"/>
      <c r="B263" s="372"/>
      <c r="C263" s="372"/>
      <c r="D263" s="372"/>
      <c r="E263" s="299"/>
      <c r="F263" s="372"/>
      <c r="G263" s="300"/>
      <c r="H263" s="381"/>
      <c r="I263" s="381"/>
      <c r="J263" s="381"/>
      <c r="K263" s="381"/>
      <c r="L263" s="381"/>
      <c r="M263" s="381"/>
      <c r="N263" s="381"/>
    </row>
    <row r="264" spans="1:14" s="302" customFormat="1" ht="13.5">
      <c r="A264" s="297"/>
      <c r="B264" s="372"/>
      <c r="C264" s="372"/>
      <c r="D264" s="372"/>
      <c r="E264" s="373"/>
      <c r="F264" s="372"/>
      <c r="G264" s="300"/>
      <c r="H264" s="381"/>
      <c r="I264" s="381"/>
      <c r="J264" s="381"/>
      <c r="K264" s="381"/>
      <c r="L264" s="381"/>
      <c r="M264" s="381"/>
      <c r="N264" s="381"/>
    </row>
    <row r="265" spans="1:14" s="302" customFormat="1" ht="13.5">
      <c r="A265" s="297"/>
      <c r="B265" s="275"/>
      <c r="C265" s="372"/>
      <c r="D265" s="372"/>
      <c r="E265" s="391"/>
      <c r="F265" s="372"/>
      <c r="G265" s="300"/>
      <c r="H265" s="381"/>
      <c r="I265" s="381"/>
      <c r="J265" s="381"/>
      <c r="K265" s="381"/>
      <c r="L265" s="381"/>
      <c r="M265" s="381"/>
      <c r="N265" s="381"/>
    </row>
    <row r="266" spans="1:14" s="302" customFormat="1" ht="13.5">
      <c r="A266" s="297"/>
      <c r="B266" s="255"/>
      <c r="C266" s="372"/>
      <c r="D266" s="372"/>
      <c r="E266" s="299"/>
      <c r="F266" s="372"/>
      <c r="G266" s="300"/>
      <c r="H266" s="381"/>
      <c r="I266" s="381"/>
      <c r="J266" s="381"/>
      <c r="K266" s="381"/>
      <c r="L266" s="381"/>
      <c r="M266" s="381"/>
      <c r="N266" s="381"/>
    </row>
    <row r="267" spans="1:14" s="302" customFormat="1" ht="13.5">
      <c r="A267" s="294"/>
      <c r="B267" s="275"/>
      <c r="C267" s="295"/>
      <c r="D267" s="255"/>
      <c r="E267" s="296"/>
      <c r="F267" s="255"/>
      <c r="G267" s="284"/>
      <c r="H267" s="381"/>
      <c r="I267" s="381"/>
      <c r="J267" s="381"/>
      <c r="K267" s="381"/>
      <c r="L267" s="381"/>
      <c r="M267" s="381"/>
      <c r="N267" s="381"/>
    </row>
    <row r="268" spans="1:14" s="302" customFormat="1" ht="13.5">
      <c r="A268" s="297"/>
      <c r="B268" s="275"/>
      <c r="C268" s="275"/>
      <c r="D268" s="275"/>
      <c r="E268" s="299"/>
      <c r="F268" s="275"/>
      <c r="G268" s="300"/>
      <c r="H268" s="381"/>
      <c r="I268" s="381"/>
      <c r="J268" s="381"/>
      <c r="K268" s="381"/>
      <c r="L268" s="381"/>
      <c r="M268" s="381"/>
      <c r="N268" s="381"/>
    </row>
    <row r="269" spans="1:14" s="302" customFormat="1" ht="13.5">
      <c r="A269" s="297"/>
      <c r="B269" s="275"/>
      <c r="C269" s="375"/>
      <c r="D269" s="275"/>
      <c r="E269" s="376"/>
      <c r="F269" s="275"/>
      <c r="G269" s="377"/>
      <c r="H269" s="381"/>
      <c r="I269" s="381"/>
      <c r="J269" s="381"/>
      <c r="K269" s="381"/>
      <c r="L269" s="381"/>
      <c r="M269" s="381"/>
      <c r="N269" s="381"/>
    </row>
    <row r="270" spans="1:14" s="302" customFormat="1" ht="13.5">
      <c r="A270" s="297"/>
      <c r="B270" s="275"/>
      <c r="C270" s="275"/>
      <c r="D270" s="275"/>
      <c r="E270" s="376"/>
      <c r="F270" s="275"/>
      <c r="G270" s="300"/>
      <c r="H270" s="381"/>
      <c r="I270" s="381"/>
      <c r="J270" s="381"/>
      <c r="K270" s="381"/>
      <c r="L270" s="381"/>
      <c r="M270" s="381"/>
      <c r="N270" s="381"/>
    </row>
    <row r="271" spans="1:14" s="302" customFormat="1" ht="13.5">
      <c r="A271" s="297"/>
      <c r="B271" s="255"/>
      <c r="C271" s="275"/>
      <c r="D271" s="275"/>
      <c r="E271" s="376"/>
      <c r="F271" s="275"/>
      <c r="G271" s="300"/>
      <c r="H271" s="381"/>
      <c r="I271" s="381"/>
      <c r="J271" s="381"/>
      <c r="K271" s="381"/>
      <c r="L271" s="381"/>
      <c r="M271" s="381"/>
      <c r="N271" s="381"/>
    </row>
    <row r="272" spans="1:14" s="302" customFormat="1" ht="13.5">
      <c r="A272" s="294"/>
      <c r="B272" s="275"/>
      <c r="C272" s="295"/>
      <c r="D272" s="255"/>
      <c r="E272" s="296"/>
      <c r="F272" s="255"/>
      <c r="G272" s="284"/>
      <c r="H272" s="381"/>
      <c r="I272" s="381"/>
      <c r="J272" s="381"/>
      <c r="K272" s="381"/>
      <c r="L272" s="381"/>
      <c r="M272" s="381"/>
      <c r="N272" s="381"/>
    </row>
    <row r="273" spans="1:14" s="302" customFormat="1" ht="13.5">
      <c r="A273" s="297"/>
      <c r="B273" s="275"/>
      <c r="C273" s="275"/>
      <c r="D273" s="275"/>
      <c r="E273" s="299"/>
      <c r="F273" s="275"/>
      <c r="G273" s="300"/>
      <c r="H273" s="381"/>
      <c r="I273" s="381"/>
      <c r="J273" s="381"/>
      <c r="K273" s="381"/>
      <c r="L273" s="381"/>
      <c r="M273" s="381"/>
      <c r="N273" s="381"/>
    </row>
    <row r="274" spans="1:14" s="302" customFormat="1" ht="13.5">
      <c r="A274" s="297"/>
      <c r="B274" s="275"/>
      <c r="C274" s="375"/>
      <c r="D274" s="275"/>
      <c r="E274" s="376"/>
      <c r="F274" s="275"/>
      <c r="G274" s="377"/>
      <c r="H274" s="381"/>
      <c r="I274" s="381"/>
      <c r="J274" s="381"/>
      <c r="K274" s="381"/>
      <c r="L274" s="381"/>
      <c r="M274" s="381"/>
      <c r="N274" s="381"/>
    </row>
    <row r="275" spans="1:14" s="302" customFormat="1" ht="13.5">
      <c r="A275" s="297"/>
      <c r="B275" s="275"/>
      <c r="C275" s="275"/>
      <c r="D275" s="275"/>
      <c r="E275" s="376"/>
      <c r="F275" s="275"/>
      <c r="G275" s="300"/>
      <c r="H275" s="381"/>
      <c r="I275" s="381"/>
      <c r="J275" s="381"/>
      <c r="K275" s="381"/>
      <c r="L275" s="381"/>
      <c r="M275" s="381"/>
      <c r="N275" s="381"/>
    </row>
    <row r="276" spans="1:14" s="302" customFormat="1" ht="13.5">
      <c r="A276" s="297"/>
      <c r="B276" s="255"/>
      <c r="C276" s="275"/>
      <c r="D276" s="275"/>
      <c r="E276" s="376"/>
      <c r="F276" s="275"/>
      <c r="G276" s="300"/>
      <c r="H276" s="381"/>
      <c r="I276" s="381"/>
      <c r="J276" s="381"/>
      <c r="K276" s="381"/>
      <c r="L276" s="381"/>
      <c r="M276" s="381"/>
      <c r="N276" s="381"/>
    </row>
    <row r="277" spans="1:14" s="302" customFormat="1" ht="13.5">
      <c r="A277" s="384"/>
      <c r="B277" s="275"/>
      <c r="C277" s="395"/>
      <c r="D277" s="367"/>
      <c r="E277" s="382"/>
      <c r="F277" s="367"/>
      <c r="G277" s="284"/>
      <c r="H277" s="381"/>
      <c r="I277" s="381"/>
      <c r="J277" s="381"/>
      <c r="K277" s="381"/>
      <c r="L277" s="381"/>
      <c r="M277" s="381"/>
      <c r="N277" s="381"/>
    </row>
    <row r="278" spans="1:14" s="302" customFormat="1" ht="13.5">
      <c r="A278" s="297"/>
      <c r="B278" s="275"/>
      <c r="C278" s="372"/>
      <c r="D278" s="372"/>
      <c r="E278" s="299"/>
      <c r="F278" s="372"/>
      <c r="G278" s="300"/>
      <c r="H278" s="381"/>
      <c r="I278" s="381"/>
      <c r="J278" s="381"/>
      <c r="K278" s="381"/>
      <c r="L278" s="381"/>
      <c r="M278" s="381"/>
      <c r="N278" s="381"/>
    </row>
    <row r="279" spans="1:14" s="302" customFormat="1" ht="13.5">
      <c r="A279" s="297"/>
      <c r="B279" s="275"/>
      <c r="C279" s="372"/>
      <c r="D279" s="372"/>
      <c r="E279" s="299"/>
      <c r="F279" s="372"/>
      <c r="G279" s="300"/>
      <c r="H279" s="381"/>
      <c r="I279" s="381"/>
      <c r="J279" s="381"/>
      <c r="K279" s="381"/>
      <c r="L279" s="381"/>
      <c r="M279" s="381"/>
      <c r="N279" s="381"/>
    </row>
    <row r="280" spans="1:14" s="302" customFormat="1" ht="13.5">
      <c r="A280" s="297"/>
      <c r="B280" s="275"/>
      <c r="C280" s="372"/>
      <c r="D280" s="372"/>
      <c r="E280" s="299"/>
      <c r="F280" s="372"/>
      <c r="G280" s="300"/>
      <c r="H280" s="381"/>
      <c r="I280" s="381"/>
      <c r="J280" s="381"/>
      <c r="K280" s="381"/>
      <c r="L280" s="381"/>
      <c r="M280" s="381"/>
      <c r="N280" s="381"/>
    </row>
    <row r="281" spans="1:14" s="302" customFormat="1" ht="13.5">
      <c r="A281" s="297"/>
      <c r="B281" s="255"/>
      <c r="C281" s="372"/>
      <c r="D281" s="389"/>
      <c r="E281" s="299"/>
      <c r="F281" s="372"/>
      <c r="G281" s="300"/>
      <c r="H281" s="381"/>
      <c r="I281" s="381"/>
      <c r="J281" s="381"/>
      <c r="K281" s="381"/>
      <c r="L281" s="381"/>
      <c r="M281" s="381"/>
      <c r="N281" s="381"/>
    </row>
    <row r="282" spans="1:14" s="302" customFormat="1" ht="13.5">
      <c r="A282" s="384"/>
      <c r="B282" s="275"/>
      <c r="C282" s="395"/>
      <c r="D282" s="367"/>
      <c r="E282" s="382"/>
      <c r="F282" s="367"/>
      <c r="G282" s="284"/>
      <c r="H282" s="381"/>
      <c r="I282" s="381"/>
      <c r="J282" s="381"/>
      <c r="K282" s="381"/>
      <c r="L282" s="381"/>
      <c r="M282" s="381"/>
      <c r="N282" s="381"/>
    </row>
    <row r="283" spans="1:14" s="302" customFormat="1" ht="13.5">
      <c r="A283" s="297"/>
      <c r="B283" s="275"/>
      <c r="C283" s="372"/>
      <c r="D283" s="372"/>
      <c r="E283" s="299"/>
      <c r="F283" s="372"/>
      <c r="G283" s="300"/>
      <c r="H283" s="381"/>
      <c r="I283" s="381"/>
      <c r="J283" s="381"/>
      <c r="K283" s="381"/>
      <c r="L283" s="381"/>
      <c r="M283" s="381"/>
      <c r="N283" s="381"/>
    </row>
    <row r="284" spans="1:14" s="302" customFormat="1" ht="13.5">
      <c r="A284" s="297"/>
      <c r="B284" s="275"/>
      <c r="C284" s="372"/>
      <c r="D284" s="372"/>
      <c r="E284" s="299"/>
      <c r="F284" s="372"/>
      <c r="G284" s="300"/>
      <c r="H284" s="381"/>
      <c r="I284" s="381"/>
      <c r="J284" s="381"/>
      <c r="K284" s="381"/>
      <c r="L284" s="381"/>
      <c r="M284" s="381"/>
      <c r="N284" s="381"/>
    </row>
    <row r="285" spans="1:14" s="302" customFormat="1" ht="13.5">
      <c r="A285" s="297"/>
      <c r="B285" s="275"/>
      <c r="C285" s="372"/>
      <c r="D285" s="372"/>
      <c r="E285" s="299"/>
      <c r="F285" s="372"/>
      <c r="G285" s="300"/>
      <c r="H285" s="381"/>
      <c r="I285" s="381"/>
      <c r="J285" s="381"/>
      <c r="K285" s="381"/>
      <c r="L285" s="381"/>
      <c r="M285" s="381"/>
      <c r="N285" s="381"/>
    </row>
    <row r="286" spans="1:14" s="302" customFormat="1" ht="13.5">
      <c r="A286" s="297"/>
      <c r="B286" s="255"/>
      <c r="C286" s="372"/>
      <c r="D286" s="389"/>
      <c r="E286" s="299"/>
      <c r="F286" s="372"/>
      <c r="G286" s="300"/>
      <c r="H286" s="381"/>
      <c r="I286" s="381"/>
      <c r="J286" s="381"/>
      <c r="K286" s="381"/>
      <c r="L286" s="381"/>
      <c r="M286" s="381"/>
      <c r="N286" s="381"/>
    </row>
    <row r="287" spans="1:14" s="302" customFormat="1" ht="13.5">
      <c r="A287" s="384"/>
      <c r="B287" s="275"/>
      <c r="C287" s="395"/>
      <c r="D287" s="367"/>
      <c r="E287" s="382"/>
      <c r="F287" s="367"/>
      <c r="G287" s="284"/>
      <c r="H287" s="381"/>
      <c r="I287" s="381"/>
      <c r="J287" s="381"/>
      <c r="K287" s="381"/>
      <c r="L287" s="381"/>
      <c r="M287" s="381"/>
      <c r="N287" s="381"/>
    </row>
    <row r="288" spans="1:14" s="302" customFormat="1" ht="13.5">
      <c r="A288" s="297"/>
      <c r="B288" s="275"/>
      <c r="C288" s="372"/>
      <c r="D288" s="372"/>
      <c r="E288" s="299"/>
      <c r="F288" s="372"/>
      <c r="G288" s="300"/>
      <c r="H288" s="381"/>
      <c r="I288" s="381"/>
      <c r="J288" s="381"/>
      <c r="K288" s="381"/>
      <c r="L288" s="381"/>
      <c r="M288" s="381"/>
      <c r="N288" s="381"/>
    </row>
    <row r="289" spans="1:14" s="302" customFormat="1" ht="13.5">
      <c r="A289" s="297"/>
      <c r="B289" s="275"/>
      <c r="C289" s="372"/>
      <c r="D289" s="372"/>
      <c r="E289" s="299"/>
      <c r="F289" s="372"/>
      <c r="G289" s="300"/>
      <c r="H289" s="381"/>
      <c r="I289" s="381"/>
      <c r="J289" s="381"/>
      <c r="K289" s="381"/>
      <c r="L289" s="381"/>
      <c r="M289" s="381"/>
      <c r="N289" s="381"/>
    </row>
    <row r="290" spans="1:14" s="302" customFormat="1" ht="13.5">
      <c r="A290" s="297"/>
      <c r="B290" s="275"/>
      <c r="C290" s="372"/>
      <c r="D290" s="372"/>
      <c r="E290" s="299"/>
      <c r="F290" s="372"/>
      <c r="G290" s="300"/>
      <c r="H290" s="381"/>
      <c r="I290" s="381"/>
      <c r="J290" s="381"/>
      <c r="K290" s="381"/>
      <c r="L290" s="381"/>
      <c r="M290" s="381"/>
      <c r="N290" s="381"/>
    </row>
    <row r="291" spans="1:14" s="302" customFormat="1" ht="13.5">
      <c r="A291" s="297"/>
      <c r="B291" s="255"/>
      <c r="C291" s="372"/>
      <c r="D291" s="389"/>
      <c r="E291" s="299"/>
      <c r="F291" s="372"/>
      <c r="G291" s="300"/>
      <c r="H291" s="381"/>
      <c r="I291" s="381"/>
      <c r="J291" s="381"/>
      <c r="K291" s="381"/>
      <c r="L291" s="381"/>
      <c r="M291" s="381"/>
      <c r="N291" s="381"/>
    </row>
    <row r="292" spans="1:14" s="302" customFormat="1" ht="13.5">
      <c r="A292" s="294"/>
      <c r="B292" s="275"/>
      <c r="C292" s="255"/>
      <c r="D292" s="255"/>
      <c r="E292" s="255"/>
      <c r="F292" s="255"/>
      <c r="G292" s="370"/>
      <c r="H292" s="381"/>
      <c r="I292" s="381"/>
      <c r="J292" s="381"/>
      <c r="K292" s="381"/>
      <c r="L292" s="381"/>
      <c r="M292" s="381"/>
      <c r="N292" s="381"/>
    </row>
    <row r="293" spans="1:14" s="302" customFormat="1" ht="13.5">
      <c r="A293" s="297"/>
      <c r="B293" s="275"/>
      <c r="C293" s="275"/>
      <c r="D293" s="275"/>
      <c r="E293" s="376"/>
      <c r="F293" s="275"/>
      <c r="G293" s="300"/>
      <c r="H293" s="381"/>
      <c r="I293" s="381"/>
      <c r="J293" s="381"/>
      <c r="K293" s="381"/>
      <c r="L293" s="381"/>
      <c r="M293" s="381"/>
      <c r="N293" s="381"/>
    </row>
    <row r="294" spans="1:14" s="302" customFormat="1" ht="13.5">
      <c r="A294" s="297"/>
      <c r="B294" s="275"/>
      <c r="C294" s="275"/>
      <c r="D294" s="275"/>
      <c r="E294" s="376"/>
      <c r="F294" s="275"/>
      <c r="G294" s="377"/>
      <c r="H294" s="381"/>
      <c r="I294" s="381"/>
      <c r="J294" s="381"/>
      <c r="K294" s="381"/>
      <c r="L294" s="381"/>
      <c r="M294" s="381"/>
      <c r="N294" s="381"/>
    </row>
    <row r="295" spans="1:14" s="302" customFormat="1" ht="13.5">
      <c r="A295" s="297"/>
      <c r="B295" s="275"/>
      <c r="C295" s="275"/>
      <c r="D295" s="275"/>
      <c r="E295" s="376"/>
      <c r="F295" s="275"/>
      <c r="G295" s="377"/>
      <c r="H295" s="381"/>
      <c r="I295" s="381"/>
      <c r="J295" s="381"/>
      <c r="K295" s="381"/>
      <c r="L295" s="381"/>
      <c r="M295" s="381"/>
      <c r="N295" s="381"/>
    </row>
    <row r="296" spans="1:14" s="302" customFormat="1" ht="13.5">
      <c r="A296" s="297"/>
      <c r="B296" s="275"/>
      <c r="C296" s="275"/>
      <c r="D296" s="275"/>
      <c r="E296" s="376"/>
      <c r="F296" s="275"/>
      <c r="G296" s="377"/>
      <c r="H296" s="381"/>
      <c r="I296" s="381"/>
      <c r="J296" s="381"/>
      <c r="K296" s="381"/>
      <c r="L296" s="381"/>
      <c r="M296" s="381"/>
      <c r="N296" s="381"/>
    </row>
    <row r="297" spans="1:14" s="302" customFormat="1" ht="13.5">
      <c r="A297" s="297"/>
      <c r="B297" s="255"/>
      <c r="C297" s="275"/>
      <c r="D297" s="275"/>
      <c r="E297" s="376"/>
      <c r="F297" s="275"/>
      <c r="G297" s="377"/>
      <c r="H297" s="381"/>
      <c r="I297" s="381"/>
      <c r="J297" s="381"/>
      <c r="K297" s="381"/>
      <c r="L297" s="381"/>
      <c r="M297" s="381"/>
      <c r="N297" s="381"/>
    </row>
    <row r="298" spans="1:14" s="302" customFormat="1" ht="13.5">
      <c r="A298" s="294"/>
      <c r="B298" s="372"/>
      <c r="C298" s="255"/>
      <c r="D298" s="255"/>
      <c r="E298" s="393"/>
      <c r="F298" s="255"/>
      <c r="G298" s="370"/>
      <c r="H298" s="381"/>
      <c r="I298" s="381"/>
      <c r="J298" s="381"/>
      <c r="K298" s="381"/>
      <c r="L298" s="381"/>
      <c r="M298" s="381"/>
      <c r="N298" s="381"/>
    </row>
    <row r="299" spans="1:14" s="302" customFormat="1" ht="13.5">
      <c r="A299" s="371"/>
      <c r="B299" s="372"/>
      <c r="C299" s="372"/>
      <c r="D299" s="372"/>
      <c r="E299" s="299"/>
      <c r="F299" s="372"/>
      <c r="G299" s="300"/>
      <c r="H299" s="381"/>
      <c r="I299" s="381"/>
      <c r="J299" s="381"/>
      <c r="K299" s="381"/>
      <c r="L299" s="381"/>
      <c r="M299" s="381"/>
      <c r="N299" s="381"/>
    </row>
    <row r="300" spans="1:14" s="302" customFormat="1" ht="13.5">
      <c r="A300" s="371"/>
      <c r="B300" s="372"/>
      <c r="C300" s="372"/>
      <c r="D300" s="372"/>
      <c r="E300" s="391"/>
      <c r="F300" s="372"/>
      <c r="G300" s="300"/>
      <c r="H300" s="381"/>
      <c r="I300" s="381"/>
      <c r="J300" s="381"/>
      <c r="K300" s="381"/>
      <c r="L300" s="381"/>
      <c r="M300" s="381"/>
      <c r="N300" s="381"/>
    </row>
    <row r="301" spans="1:14" s="302" customFormat="1" ht="13.5">
      <c r="A301" s="371"/>
      <c r="B301" s="372"/>
      <c r="C301" s="372"/>
      <c r="D301" s="372"/>
      <c r="E301" s="299"/>
      <c r="F301" s="372"/>
      <c r="G301" s="300"/>
      <c r="H301" s="381"/>
      <c r="I301" s="381"/>
      <c r="J301" s="381"/>
      <c r="K301" s="381"/>
      <c r="L301" s="381"/>
      <c r="M301" s="381"/>
      <c r="N301" s="381"/>
    </row>
    <row r="302" spans="1:14" s="302" customFormat="1" ht="13.5">
      <c r="A302" s="371"/>
      <c r="B302" s="372"/>
      <c r="C302" s="372"/>
      <c r="D302" s="372"/>
      <c r="E302" s="374"/>
      <c r="F302" s="372"/>
      <c r="G302" s="300"/>
      <c r="H302" s="381"/>
      <c r="I302" s="381"/>
      <c r="J302" s="381"/>
      <c r="K302" s="381"/>
      <c r="L302" s="381"/>
      <c r="M302" s="381"/>
      <c r="N302" s="381"/>
    </row>
    <row r="303" spans="1:14" s="302" customFormat="1" ht="13.5">
      <c r="A303" s="371"/>
      <c r="B303" s="372"/>
      <c r="C303" s="372"/>
      <c r="D303" s="372"/>
      <c r="E303" s="299"/>
      <c r="F303" s="372"/>
      <c r="G303" s="300"/>
      <c r="H303" s="381"/>
      <c r="I303" s="381"/>
      <c r="J303" s="381"/>
      <c r="K303" s="381"/>
      <c r="L303" s="381"/>
      <c r="M303" s="381"/>
      <c r="N303" s="381"/>
    </row>
    <row r="304" spans="1:14" s="302" customFormat="1" ht="13.5">
      <c r="A304" s="371"/>
      <c r="B304" s="372"/>
      <c r="C304" s="372"/>
      <c r="D304" s="372"/>
      <c r="E304" s="299"/>
      <c r="F304" s="372"/>
      <c r="G304" s="300"/>
      <c r="H304" s="381"/>
      <c r="I304" s="381"/>
      <c r="J304" s="381"/>
      <c r="K304" s="381"/>
      <c r="L304" s="381"/>
      <c r="M304" s="381"/>
      <c r="N304" s="381"/>
    </row>
    <row r="305" spans="1:14" s="302" customFormat="1" ht="13.5">
      <c r="A305" s="371"/>
      <c r="B305" s="255"/>
      <c r="C305" s="372"/>
      <c r="D305" s="372"/>
      <c r="E305" s="391"/>
      <c r="F305" s="372"/>
      <c r="G305" s="300"/>
      <c r="H305" s="381"/>
      <c r="I305" s="381"/>
      <c r="J305" s="381"/>
      <c r="K305" s="381"/>
      <c r="L305" s="381"/>
      <c r="M305" s="381"/>
      <c r="N305" s="381"/>
    </row>
    <row r="306" spans="1:14" s="302" customFormat="1" ht="13.5">
      <c r="A306" s="294"/>
      <c r="B306" s="275"/>
      <c r="C306" s="255"/>
      <c r="D306" s="255"/>
      <c r="E306" s="393"/>
      <c r="F306" s="255"/>
      <c r="G306" s="370"/>
      <c r="H306" s="381"/>
      <c r="I306" s="381"/>
      <c r="J306" s="381"/>
      <c r="K306" s="381"/>
      <c r="L306" s="381"/>
      <c r="M306" s="381"/>
      <c r="N306" s="381"/>
    </row>
    <row r="307" spans="1:14" s="302" customFormat="1" ht="13.5">
      <c r="A307" s="297"/>
      <c r="B307" s="275"/>
      <c r="C307" s="275"/>
      <c r="D307" s="275"/>
      <c r="E307" s="376"/>
      <c r="F307" s="275"/>
      <c r="G307" s="377"/>
      <c r="H307" s="381"/>
      <c r="I307" s="381"/>
      <c r="J307" s="381"/>
      <c r="K307" s="381"/>
      <c r="L307" s="381"/>
      <c r="M307" s="381"/>
      <c r="N307" s="381"/>
    </row>
    <row r="308" spans="1:14" s="302" customFormat="1" ht="13.5">
      <c r="A308" s="297"/>
      <c r="B308" s="275"/>
      <c r="C308" s="275"/>
      <c r="D308" s="275"/>
      <c r="E308" s="396"/>
      <c r="F308" s="275"/>
      <c r="G308" s="377"/>
      <c r="H308" s="381"/>
      <c r="I308" s="381"/>
      <c r="J308" s="381"/>
      <c r="K308" s="381"/>
      <c r="L308" s="381"/>
      <c r="M308" s="381"/>
      <c r="N308" s="381"/>
    </row>
    <row r="309" spans="1:14" s="302" customFormat="1" ht="13.5">
      <c r="A309" s="297"/>
      <c r="B309" s="275"/>
      <c r="C309" s="275"/>
      <c r="D309" s="275"/>
      <c r="E309" s="376"/>
      <c r="F309" s="275"/>
      <c r="G309" s="377"/>
      <c r="H309" s="381"/>
      <c r="I309" s="381"/>
      <c r="J309" s="381"/>
      <c r="K309" s="381"/>
      <c r="L309" s="381"/>
      <c r="M309" s="381"/>
      <c r="N309" s="381"/>
    </row>
    <row r="310" spans="1:14" s="302" customFormat="1" ht="13.5">
      <c r="A310" s="297"/>
      <c r="B310" s="275"/>
      <c r="C310" s="275"/>
      <c r="D310" s="275"/>
      <c r="E310" s="376"/>
      <c r="F310" s="275"/>
      <c r="G310" s="377"/>
      <c r="H310" s="381"/>
      <c r="I310" s="381"/>
      <c r="J310" s="381"/>
      <c r="K310" s="381"/>
      <c r="L310" s="381"/>
      <c r="M310" s="381"/>
      <c r="N310" s="381"/>
    </row>
    <row r="311" spans="1:14" s="302" customFormat="1" ht="13.5">
      <c r="A311" s="297"/>
      <c r="B311" s="255"/>
      <c r="C311" s="275"/>
      <c r="D311" s="275"/>
      <c r="E311" s="396"/>
      <c r="F311" s="275"/>
      <c r="G311" s="377"/>
      <c r="H311" s="381"/>
      <c r="I311" s="381"/>
      <c r="J311" s="381"/>
      <c r="K311" s="381"/>
      <c r="L311" s="381"/>
      <c r="M311" s="381"/>
      <c r="N311" s="381"/>
    </row>
    <row r="312" spans="1:14" s="302" customFormat="1" ht="13.5">
      <c r="A312" s="384"/>
      <c r="B312" s="275"/>
      <c r="C312" s="368"/>
      <c r="D312" s="255"/>
      <c r="E312" s="369"/>
      <c r="F312" s="255"/>
      <c r="G312" s="370"/>
      <c r="H312" s="381"/>
      <c r="I312" s="381"/>
      <c r="J312" s="381"/>
      <c r="K312" s="381"/>
      <c r="L312" s="381"/>
      <c r="M312" s="381"/>
      <c r="N312" s="381"/>
    </row>
    <row r="313" spans="1:14" s="302" customFormat="1" ht="13.5">
      <c r="A313" s="297"/>
      <c r="B313" s="275"/>
      <c r="C313" s="275"/>
      <c r="D313" s="275"/>
      <c r="E313" s="376"/>
      <c r="F313" s="275"/>
      <c r="G313" s="377"/>
      <c r="H313" s="381"/>
      <c r="I313" s="381"/>
      <c r="J313" s="381"/>
      <c r="K313" s="381"/>
      <c r="L313" s="381"/>
      <c r="M313" s="381"/>
      <c r="N313" s="381"/>
    </row>
    <row r="314" spans="1:14" s="302" customFormat="1" ht="13.5">
      <c r="A314" s="297"/>
      <c r="B314" s="275"/>
      <c r="C314" s="275"/>
      <c r="D314" s="275"/>
      <c r="E314" s="376"/>
      <c r="F314" s="275"/>
      <c r="G314" s="377"/>
      <c r="H314" s="381"/>
      <c r="I314" s="381"/>
      <c r="J314" s="381"/>
      <c r="K314" s="381"/>
      <c r="L314" s="381"/>
      <c r="M314" s="381"/>
      <c r="N314" s="381"/>
    </row>
    <row r="315" spans="1:14" s="302" customFormat="1" ht="13.5">
      <c r="A315" s="297"/>
      <c r="B315" s="275"/>
      <c r="C315" s="275"/>
      <c r="D315" s="275"/>
      <c r="E315" s="376"/>
      <c r="F315" s="275"/>
      <c r="G315" s="377"/>
      <c r="H315" s="381"/>
      <c r="I315" s="381"/>
      <c r="J315" s="381"/>
      <c r="K315" s="381"/>
      <c r="L315" s="381"/>
      <c r="M315" s="381"/>
      <c r="N315" s="381"/>
    </row>
    <row r="316" spans="1:14" s="302" customFormat="1" ht="13.5">
      <c r="A316" s="297"/>
      <c r="B316" s="275"/>
      <c r="C316" s="275"/>
      <c r="D316" s="275"/>
      <c r="E316" s="376"/>
      <c r="F316" s="275"/>
      <c r="G316" s="377"/>
      <c r="H316" s="381"/>
      <c r="I316" s="381"/>
      <c r="J316" s="381"/>
      <c r="K316" s="381"/>
      <c r="L316" s="381"/>
      <c r="M316" s="381"/>
      <c r="N316" s="381"/>
    </row>
    <row r="317" spans="1:14" s="302" customFormat="1" ht="13.5">
      <c r="A317" s="297"/>
      <c r="B317" s="255"/>
      <c r="C317" s="275"/>
      <c r="D317" s="275"/>
      <c r="E317" s="376"/>
      <c r="F317" s="275"/>
      <c r="G317" s="377"/>
      <c r="H317" s="381"/>
      <c r="I317" s="381"/>
      <c r="J317" s="381"/>
      <c r="K317" s="381"/>
      <c r="L317" s="381"/>
      <c r="M317" s="381"/>
      <c r="N317" s="381"/>
    </row>
    <row r="318" spans="1:14" s="302" customFormat="1" ht="13.5">
      <c r="A318" s="294"/>
      <c r="B318" s="255"/>
      <c r="C318" s="255"/>
      <c r="D318" s="255"/>
      <c r="E318" s="255"/>
      <c r="F318" s="255"/>
      <c r="G318" s="370"/>
      <c r="H318" s="381"/>
      <c r="I318" s="381"/>
      <c r="J318" s="381"/>
      <c r="K318" s="381"/>
      <c r="L318" s="381"/>
      <c r="M318" s="381"/>
      <c r="N318" s="381"/>
    </row>
    <row r="319" spans="1:14" s="302" customFormat="1" ht="13.5">
      <c r="A319" s="384"/>
      <c r="B319" s="275"/>
      <c r="C319" s="255"/>
      <c r="D319" s="397"/>
      <c r="E319" s="296"/>
      <c r="F319" s="255"/>
      <c r="G319" s="370"/>
      <c r="H319" s="381"/>
      <c r="I319" s="381"/>
      <c r="J319" s="381"/>
      <c r="K319" s="381"/>
      <c r="L319" s="381"/>
      <c r="M319" s="381"/>
      <c r="N319" s="381"/>
    </row>
    <row r="320" spans="1:14" s="302" customFormat="1" ht="13.5">
      <c r="A320" s="297"/>
      <c r="B320" s="255"/>
      <c r="C320" s="275"/>
      <c r="D320" s="275"/>
      <c r="E320" s="376"/>
      <c r="F320" s="275"/>
      <c r="G320" s="377"/>
      <c r="H320" s="381"/>
      <c r="I320" s="381"/>
      <c r="J320" s="381"/>
      <c r="K320" s="381"/>
      <c r="L320" s="381"/>
      <c r="M320" s="381"/>
      <c r="N320" s="381"/>
    </row>
    <row r="321" spans="1:14" s="302" customFormat="1" ht="13.5">
      <c r="A321" s="294"/>
      <c r="B321" s="275"/>
      <c r="C321" s="255"/>
      <c r="D321" s="255"/>
      <c r="E321" s="369"/>
      <c r="F321" s="255"/>
      <c r="G321" s="370"/>
      <c r="H321" s="381"/>
      <c r="I321" s="381"/>
      <c r="J321" s="381"/>
      <c r="K321" s="381"/>
      <c r="L321" s="381"/>
      <c r="M321" s="381"/>
      <c r="N321" s="381"/>
    </row>
    <row r="322" spans="1:14" s="302" customFormat="1" ht="13.5">
      <c r="A322" s="297"/>
      <c r="B322" s="275"/>
      <c r="C322" s="275"/>
      <c r="D322" s="275"/>
      <c r="E322" s="376"/>
      <c r="F322" s="372"/>
      <c r="G322" s="377"/>
      <c r="H322" s="381"/>
      <c r="I322" s="381"/>
      <c r="J322" s="381"/>
      <c r="K322" s="381"/>
      <c r="L322" s="381"/>
      <c r="M322" s="381"/>
      <c r="N322" s="381"/>
    </row>
    <row r="323" spans="1:14" s="302" customFormat="1" ht="13.5">
      <c r="A323" s="297"/>
      <c r="B323" s="275"/>
      <c r="C323" s="275"/>
      <c r="D323" s="275"/>
      <c r="E323" s="376"/>
      <c r="F323" s="275"/>
      <c r="G323" s="377"/>
      <c r="H323" s="381"/>
      <c r="I323" s="381"/>
      <c r="J323" s="381"/>
      <c r="K323" s="381"/>
      <c r="L323" s="381"/>
      <c r="M323" s="381"/>
      <c r="N323" s="381"/>
    </row>
    <row r="324" spans="1:14" s="302" customFormat="1" ht="13.5">
      <c r="A324" s="297"/>
      <c r="B324" s="275"/>
      <c r="C324" s="275"/>
      <c r="D324" s="275"/>
      <c r="E324" s="376"/>
      <c r="F324" s="376"/>
      <c r="G324" s="377"/>
      <c r="H324" s="381"/>
      <c r="I324" s="381"/>
      <c r="J324" s="381"/>
      <c r="K324" s="381"/>
      <c r="L324" s="381"/>
      <c r="M324" s="381"/>
      <c r="N324" s="381"/>
    </row>
    <row r="325" spans="1:14" s="302" customFormat="1" ht="13.5">
      <c r="A325" s="297"/>
      <c r="B325" s="275"/>
      <c r="C325" s="275"/>
      <c r="D325" s="275"/>
      <c r="E325" s="376"/>
      <c r="F325" s="275"/>
      <c r="G325" s="377"/>
      <c r="H325" s="381"/>
      <c r="I325" s="381"/>
      <c r="J325" s="381"/>
      <c r="K325" s="381"/>
      <c r="L325" s="381"/>
      <c r="M325" s="381"/>
      <c r="N325" s="381"/>
    </row>
    <row r="326" spans="1:14" s="302" customFormat="1" ht="13.5">
      <c r="A326" s="297"/>
      <c r="B326" s="275"/>
      <c r="C326" s="275"/>
      <c r="D326" s="275"/>
      <c r="E326" s="376"/>
      <c r="F326" s="275"/>
      <c r="G326" s="377"/>
      <c r="H326" s="381"/>
      <c r="I326" s="381"/>
      <c r="J326" s="381"/>
      <c r="K326" s="381"/>
      <c r="L326" s="381"/>
      <c r="M326" s="381"/>
      <c r="N326" s="381"/>
    </row>
    <row r="327" spans="1:14" s="302" customFormat="1" ht="13.5">
      <c r="A327" s="297"/>
      <c r="B327" s="255"/>
      <c r="C327" s="275"/>
      <c r="D327" s="275"/>
      <c r="E327" s="376"/>
      <c r="F327" s="275"/>
      <c r="G327" s="377"/>
      <c r="H327" s="381"/>
      <c r="I327" s="381"/>
      <c r="J327" s="381"/>
      <c r="K327" s="381"/>
      <c r="L327" s="381"/>
      <c r="M327" s="381"/>
      <c r="N327" s="381"/>
    </row>
    <row r="328" spans="1:14" s="302" customFormat="1" ht="13.5">
      <c r="A328" s="294"/>
      <c r="B328" s="275"/>
      <c r="C328" s="255"/>
      <c r="D328" s="255"/>
      <c r="E328" s="369"/>
      <c r="F328" s="255"/>
      <c r="G328" s="384"/>
      <c r="H328" s="381"/>
      <c r="I328" s="381"/>
      <c r="J328" s="381"/>
      <c r="K328" s="381"/>
      <c r="L328" s="381"/>
      <c r="M328" s="381"/>
      <c r="N328" s="381"/>
    </row>
    <row r="329" spans="1:14" s="302" customFormat="1" ht="13.5">
      <c r="A329" s="297"/>
      <c r="B329" s="275"/>
      <c r="C329" s="275"/>
      <c r="D329" s="275"/>
      <c r="E329" s="376"/>
      <c r="F329" s="372"/>
      <c r="G329" s="392"/>
      <c r="H329" s="381"/>
      <c r="I329" s="381"/>
      <c r="J329" s="381"/>
      <c r="K329" s="381"/>
      <c r="L329" s="381"/>
      <c r="M329" s="381"/>
      <c r="N329" s="381"/>
    </row>
    <row r="330" spans="1:14" s="302" customFormat="1" ht="13.5">
      <c r="A330" s="297"/>
      <c r="B330" s="275"/>
      <c r="C330" s="275"/>
      <c r="D330" s="275"/>
      <c r="E330" s="376"/>
      <c r="F330" s="275"/>
      <c r="G330" s="392"/>
      <c r="H330" s="381"/>
      <c r="I330" s="381"/>
      <c r="J330" s="381"/>
      <c r="K330" s="381"/>
      <c r="L330" s="381"/>
      <c r="M330" s="381"/>
      <c r="N330" s="381"/>
    </row>
    <row r="331" spans="1:14" s="302" customFormat="1" ht="13.5">
      <c r="A331" s="297"/>
      <c r="B331" s="275"/>
      <c r="C331" s="275"/>
      <c r="D331" s="275"/>
      <c r="E331" s="376"/>
      <c r="F331" s="275"/>
      <c r="G331" s="392"/>
      <c r="H331" s="381"/>
      <c r="I331" s="381"/>
      <c r="J331" s="381"/>
      <c r="K331" s="381"/>
      <c r="L331" s="381"/>
      <c r="M331" s="381"/>
      <c r="N331" s="381"/>
    </row>
    <row r="332" spans="1:14" s="302" customFormat="1" ht="13.5">
      <c r="A332" s="297"/>
      <c r="B332" s="275"/>
      <c r="C332" s="275"/>
      <c r="D332" s="275"/>
      <c r="E332" s="376"/>
      <c r="F332" s="372"/>
      <c r="G332" s="392"/>
      <c r="H332" s="381"/>
      <c r="I332" s="381"/>
      <c r="J332" s="381"/>
      <c r="K332" s="381"/>
      <c r="L332" s="381"/>
      <c r="M332" s="381"/>
      <c r="N332" s="381"/>
    </row>
    <row r="333" spans="1:14" s="302" customFormat="1" ht="13.5">
      <c r="A333" s="297"/>
      <c r="B333" s="275"/>
      <c r="C333" s="275"/>
      <c r="D333" s="275"/>
      <c r="E333" s="376"/>
      <c r="F333" s="372"/>
      <c r="G333" s="392"/>
      <c r="H333" s="381"/>
      <c r="I333" s="381"/>
      <c r="J333" s="381"/>
      <c r="K333" s="381"/>
      <c r="L333" s="381"/>
      <c r="M333" s="381"/>
      <c r="N333" s="381"/>
    </row>
    <row r="334" spans="1:14" s="302" customFormat="1" ht="13.5">
      <c r="A334" s="297"/>
      <c r="B334" s="255"/>
      <c r="C334" s="275"/>
      <c r="D334" s="275"/>
      <c r="E334" s="376"/>
      <c r="F334" s="275"/>
      <c r="G334" s="392"/>
      <c r="H334" s="381"/>
      <c r="I334" s="381"/>
      <c r="J334" s="381"/>
      <c r="K334" s="381"/>
      <c r="L334" s="381"/>
      <c r="M334" s="381"/>
      <c r="N334" s="381"/>
    </row>
    <row r="335" spans="1:14" s="302" customFormat="1" ht="13.5">
      <c r="A335" s="294"/>
      <c r="B335" s="275"/>
      <c r="C335" s="255"/>
      <c r="D335" s="397"/>
      <c r="E335" s="296"/>
      <c r="F335" s="255"/>
      <c r="G335" s="370"/>
      <c r="H335" s="381"/>
      <c r="I335" s="381"/>
      <c r="J335" s="381"/>
      <c r="K335" s="381"/>
      <c r="L335" s="381"/>
      <c r="M335" s="381"/>
      <c r="N335" s="381"/>
    </row>
    <row r="336" spans="1:14" s="302" customFormat="1" ht="13.5">
      <c r="A336" s="297"/>
      <c r="B336" s="255"/>
      <c r="C336" s="275"/>
      <c r="D336" s="275"/>
      <c r="E336" s="376"/>
      <c r="F336" s="275"/>
      <c r="G336" s="377"/>
      <c r="H336" s="381"/>
      <c r="I336" s="381"/>
      <c r="J336" s="381"/>
      <c r="K336" s="381"/>
      <c r="L336" s="381"/>
      <c r="M336" s="381"/>
      <c r="N336" s="381"/>
    </row>
    <row r="337" spans="1:14" s="302" customFormat="1" ht="13.5">
      <c r="A337" s="294"/>
      <c r="B337" s="275"/>
      <c r="C337" s="255"/>
      <c r="D337" s="255"/>
      <c r="E337" s="369"/>
      <c r="F337" s="255"/>
      <c r="G337" s="284"/>
      <c r="H337" s="381"/>
      <c r="I337" s="381"/>
      <c r="J337" s="381"/>
      <c r="K337" s="381"/>
      <c r="L337" s="381"/>
      <c r="M337" s="381"/>
      <c r="N337" s="381"/>
    </row>
    <row r="338" spans="1:14" s="302" customFormat="1" ht="13.5">
      <c r="A338" s="297"/>
      <c r="B338" s="275"/>
      <c r="C338" s="275"/>
      <c r="D338" s="275"/>
      <c r="E338" s="388"/>
      <c r="F338" s="275"/>
      <c r="G338" s="300"/>
      <c r="H338" s="381"/>
      <c r="I338" s="381"/>
      <c r="J338" s="381"/>
      <c r="K338" s="381"/>
      <c r="L338" s="381"/>
      <c r="M338" s="381"/>
      <c r="N338" s="381"/>
    </row>
    <row r="339" spans="1:14" s="302" customFormat="1" ht="13.5">
      <c r="A339" s="297"/>
      <c r="B339" s="275"/>
      <c r="C339" s="275"/>
      <c r="D339" s="275"/>
      <c r="E339" s="376"/>
      <c r="F339" s="275"/>
      <c r="G339" s="300"/>
      <c r="H339" s="381"/>
      <c r="I339" s="381"/>
      <c r="J339" s="381"/>
      <c r="K339" s="381"/>
      <c r="L339" s="381"/>
      <c r="M339" s="381"/>
      <c r="N339" s="381"/>
    </row>
    <row r="340" spans="1:14" s="302" customFormat="1" ht="13.5">
      <c r="A340" s="297"/>
      <c r="B340" s="275"/>
      <c r="C340" s="275"/>
      <c r="D340" s="275"/>
      <c r="E340" s="376"/>
      <c r="F340" s="275"/>
      <c r="G340" s="377"/>
      <c r="H340" s="381"/>
      <c r="I340" s="381"/>
      <c r="J340" s="381"/>
      <c r="K340" s="381"/>
      <c r="L340" s="381"/>
      <c r="M340" s="381"/>
      <c r="N340" s="381"/>
    </row>
    <row r="341" spans="1:14" s="302" customFormat="1" ht="13.5">
      <c r="A341" s="298"/>
      <c r="B341" s="275"/>
      <c r="C341" s="275"/>
      <c r="D341" s="275"/>
      <c r="E341" s="387"/>
      <c r="F341" s="388"/>
      <c r="G341" s="377"/>
      <c r="H341" s="381"/>
      <c r="I341" s="381"/>
      <c r="J341" s="381"/>
      <c r="K341" s="381"/>
      <c r="L341" s="381"/>
      <c r="M341" s="381"/>
      <c r="N341" s="381"/>
    </row>
    <row r="342" spans="1:14" s="302" customFormat="1" ht="13.5">
      <c r="A342" s="297"/>
      <c r="B342" s="275"/>
      <c r="C342" s="275"/>
      <c r="D342" s="275"/>
      <c r="E342" s="376"/>
      <c r="F342" s="275"/>
      <c r="G342" s="300"/>
      <c r="H342" s="381"/>
      <c r="I342" s="381"/>
      <c r="J342" s="381"/>
      <c r="K342" s="381"/>
      <c r="L342" s="381"/>
      <c r="M342" s="381"/>
      <c r="N342" s="381"/>
    </row>
    <row r="343" spans="1:14" s="302" customFormat="1" ht="13.5">
      <c r="A343" s="297"/>
      <c r="B343" s="275"/>
      <c r="C343" s="275"/>
      <c r="D343" s="275"/>
      <c r="E343" s="376"/>
      <c r="F343" s="275"/>
      <c r="G343" s="300"/>
      <c r="H343" s="381"/>
      <c r="I343" s="381"/>
      <c r="J343" s="381"/>
      <c r="K343" s="381"/>
      <c r="L343" s="381"/>
      <c r="M343" s="381"/>
      <c r="N343" s="381"/>
    </row>
    <row r="344" spans="1:14" s="302" customFormat="1" ht="13.5">
      <c r="A344" s="297"/>
      <c r="B344" s="275"/>
      <c r="C344" s="275"/>
      <c r="D344" s="275"/>
      <c r="E344" s="396"/>
      <c r="F344" s="275"/>
      <c r="G344" s="300"/>
      <c r="H344" s="381"/>
      <c r="I344" s="381"/>
      <c r="J344" s="381"/>
      <c r="K344" s="381"/>
      <c r="L344" s="381"/>
      <c r="M344" s="381"/>
      <c r="N344" s="381"/>
    </row>
    <row r="345" spans="1:14" s="302" customFormat="1" ht="13.5">
      <c r="A345" s="297"/>
      <c r="B345" s="255"/>
      <c r="C345" s="275"/>
      <c r="D345" s="275"/>
      <c r="E345" s="376"/>
      <c r="F345" s="275"/>
      <c r="G345" s="300"/>
      <c r="H345" s="381"/>
      <c r="I345" s="381"/>
      <c r="J345" s="381"/>
      <c r="K345" s="381"/>
      <c r="L345" s="381"/>
      <c r="M345" s="381"/>
      <c r="N345" s="381"/>
    </row>
    <row r="346" spans="1:14" s="302" customFormat="1" ht="13.5">
      <c r="A346" s="384"/>
      <c r="B346" s="275"/>
      <c r="C346" s="255"/>
      <c r="D346" s="255"/>
      <c r="E346" s="296"/>
      <c r="F346" s="255"/>
      <c r="G346" s="370"/>
      <c r="H346" s="381"/>
      <c r="I346" s="381"/>
      <c r="J346" s="381"/>
      <c r="K346" s="381"/>
      <c r="L346" s="381"/>
      <c r="M346" s="381"/>
      <c r="N346" s="381"/>
    </row>
    <row r="347" spans="1:14" s="302" customFormat="1" ht="13.5">
      <c r="A347" s="298"/>
      <c r="B347" s="275"/>
      <c r="C347" s="275"/>
      <c r="D347" s="275"/>
      <c r="E347" s="376"/>
      <c r="F347" s="372"/>
      <c r="G347" s="377"/>
      <c r="H347" s="381"/>
      <c r="I347" s="381"/>
      <c r="J347" s="381"/>
      <c r="K347" s="381"/>
      <c r="L347" s="381"/>
      <c r="M347" s="381"/>
      <c r="N347" s="381"/>
    </row>
    <row r="348" spans="1:14" s="302" customFormat="1" ht="13.5">
      <c r="A348" s="298"/>
      <c r="B348" s="275"/>
      <c r="C348" s="275"/>
      <c r="D348" s="275"/>
      <c r="E348" s="376"/>
      <c r="F348" s="275"/>
      <c r="G348" s="377"/>
      <c r="H348" s="381"/>
      <c r="I348" s="381"/>
      <c r="J348" s="381"/>
      <c r="K348" s="381"/>
      <c r="L348" s="381"/>
      <c r="M348" s="381"/>
      <c r="N348" s="381"/>
    </row>
    <row r="349" spans="1:14" s="302" customFormat="1" ht="13.5">
      <c r="A349" s="298"/>
      <c r="B349" s="275"/>
      <c r="C349" s="275"/>
      <c r="D349" s="275"/>
      <c r="E349" s="376"/>
      <c r="F349" s="275"/>
      <c r="G349" s="377"/>
      <c r="H349" s="381"/>
      <c r="I349" s="381"/>
      <c r="J349" s="381"/>
      <c r="K349" s="381"/>
      <c r="L349" s="381"/>
      <c r="M349" s="381"/>
      <c r="N349" s="381"/>
    </row>
    <row r="350" spans="1:14" s="302" customFormat="1" ht="13.5">
      <c r="A350" s="298"/>
      <c r="B350" s="255"/>
      <c r="C350" s="275"/>
      <c r="D350" s="275"/>
      <c r="E350" s="376"/>
      <c r="F350" s="275"/>
      <c r="G350" s="377"/>
      <c r="H350" s="381"/>
      <c r="I350" s="381"/>
      <c r="J350" s="381"/>
      <c r="K350" s="381"/>
      <c r="L350" s="381"/>
      <c r="M350" s="381"/>
      <c r="N350" s="381"/>
    </row>
    <row r="351" spans="1:14" s="302" customFormat="1" ht="13.5">
      <c r="A351" s="294"/>
      <c r="B351" s="275"/>
      <c r="C351" s="255"/>
      <c r="D351" s="255"/>
      <c r="E351" s="296"/>
      <c r="F351" s="255"/>
      <c r="G351" s="370"/>
      <c r="H351" s="381"/>
      <c r="I351" s="381"/>
      <c r="J351" s="381"/>
      <c r="K351" s="381"/>
      <c r="L351" s="381"/>
      <c r="M351" s="381"/>
      <c r="N351" s="381"/>
    </row>
    <row r="352" spans="1:14" s="302" customFormat="1" ht="13.5">
      <c r="A352" s="297"/>
      <c r="B352" s="275"/>
      <c r="C352" s="275"/>
      <c r="D352" s="275"/>
      <c r="E352" s="376"/>
      <c r="F352" s="372"/>
      <c r="G352" s="377"/>
      <c r="H352" s="381"/>
      <c r="I352" s="381"/>
      <c r="J352" s="381"/>
      <c r="K352" s="381"/>
      <c r="L352" s="381"/>
      <c r="M352" s="381"/>
      <c r="N352" s="381"/>
    </row>
    <row r="353" spans="1:14" s="302" customFormat="1" ht="13.5">
      <c r="A353" s="297"/>
      <c r="B353" s="275"/>
      <c r="C353" s="275"/>
      <c r="D353" s="275"/>
      <c r="E353" s="376"/>
      <c r="F353" s="275"/>
      <c r="G353" s="377"/>
      <c r="H353" s="381"/>
      <c r="I353" s="381"/>
      <c r="J353" s="381"/>
      <c r="K353" s="381"/>
      <c r="L353" s="381"/>
      <c r="M353" s="381"/>
      <c r="N353" s="381"/>
    </row>
    <row r="354" spans="1:14" s="302" customFormat="1" ht="13.5">
      <c r="A354" s="297"/>
      <c r="B354" s="275"/>
      <c r="C354" s="275"/>
      <c r="D354" s="275"/>
      <c r="E354" s="376"/>
      <c r="F354" s="275"/>
      <c r="G354" s="377"/>
      <c r="H354" s="381"/>
      <c r="I354" s="381"/>
      <c r="J354" s="381"/>
      <c r="K354" s="381"/>
      <c r="L354" s="381"/>
      <c r="M354" s="381"/>
      <c r="N354" s="381"/>
    </row>
    <row r="355" spans="1:14" s="302" customFormat="1" ht="13.5">
      <c r="A355" s="297"/>
      <c r="B355" s="275"/>
      <c r="C355" s="275"/>
      <c r="D355" s="376"/>
      <c r="E355" s="376"/>
      <c r="F355" s="376"/>
      <c r="G355" s="377"/>
      <c r="H355" s="381"/>
      <c r="I355" s="381"/>
      <c r="J355" s="381"/>
      <c r="K355" s="381"/>
      <c r="L355" s="381"/>
      <c r="M355" s="381"/>
      <c r="N355" s="381"/>
    </row>
    <row r="356" spans="1:14" s="302" customFormat="1" ht="13.5">
      <c r="A356" s="297"/>
      <c r="B356" s="255"/>
      <c r="C356" s="275"/>
      <c r="D356" s="275"/>
      <c r="E356" s="376"/>
      <c r="F356" s="275"/>
      <c r="G356" s="377"/>
      <c r="H356" s="381"/>
      <c r="I356" s="381"/>
      <c r="J356" s="381"/>
      <c r="K356" s="381"/>
      <c r="L356" s="381"/>
      <c r="M356" s="381"/>
      <c r="N356" s="381"/>
    </row>
    <row r="357" spans="1:14" s="302" customFormat="1" ht="13.5">
      <c r="A357" s="384"/>
      <c r="B357" s="372"/>
      <c r="C357" s="255"/>
      <c r="D357" s="255"/>
      <c r="E357" s="369"/>
      <c r="F357" s="255"/>
      <c r="G357" s="284"/>
      <c r="H357" s="381"/>
      <c r="I357" s="381"/>
      <c r="J357" s="381"/>
      <c r="K357" s="381"/>
      <c r="L357" s="381"/>
      <c r="M357" s="381"/>
      <c r="N357" s="381"/>
    </row>
    <row r="358" spans="1:14" s="302" customFormat="1" ht="13.5">
      <c r="A358" s="298"/>
      <c r="B358" s="275"/>
      <c r="C358" s="372"/>
      <c r="D358" s="372"/>
      <c r="E358" s="299"/>
      <c r="F358" s="372"/>
      <c r="G358" s="300"/>
      <c r="H358" s="381"/>
      <c r="I358" s="381"/>
      <c r="J358" s="381"/>
      <c r="K358" s="381"/>
      <c r="L358" s="381"/>
      <c r="M358" s="381"/>
      <c r="N358" s="381"/>
    </row>
    <row r="359" spans="1:14" s="302" customFormat="1" ht="13.5">
      <c r="A359" s="298"/>
      <c r="B359" s="275"/>
      <c r="C359" s="275"/>
      <c r="D359" s="275"/>
      <c r="E359" s="376"/>
      <c r="F359" s="275"/>
      <c r="G359" s="300"/>
      <c r="H359" s="381"/>
      <c r="I359" s="381"/>
      <c r="J359" s="381"/>
      <c r="K359" s="381"/>
      <c r="L359" s="381"/>
      <c r="M359" s="381"/>
      <c r="N359" s="381"/>
    </row>
    <row r="360" spans="1:14" s="302" customFormat="1" ht="13.5">
      <c r="A360" s="298"/>
      <c r="B360" s="275"/>
      <c r="C360" s="275"/>
      <c r="D360" s="275"/>
      <c r="E360" s="376"/>
      <c r="F360" s="275"/>
      <c r="G360" s="300"/>
      <c r="H360" s="381"/>
      <c r="I360" s="381"/>
      <c r="J360" s="381"/>
      <c r="K360" s="381"/>
      <c r="L360" s="381"/>
      <c r="M360" s="381"/>
      <c r="N360" s="381"/>
    </row>
    <row r="361" spans="1:14" s="302" customFormat="1" ht="13.5">
      <c r="A361" s="298"/>
      <c r="B361" s="275"/>
      <c r="C361" s="275"/>
      <c r="D361" s="275"/>
      <c r="E361" s="387"/>
      <c r="F361" s="388"/>
      <c r="G361" s="377"/>
      <c r="H361" s="381"/>
      <c r="I361" s="381"/>
      <c r="J361" s="381"/>
      <c r="K361" s="381"/>
      <c r="L361" s="381"/>
      <c r="M361" s="381"/>
      <c r="N361" s="381"/>
    </row>
    <row r="362" spans="1:14" s="302" customFormat="1" ht="13.5">
      <c r="A362" s="298"/>
      <c r="B362" s="275"/>
      <c r="C362" s="275"/>
      <c r="D362" s="275"/>
      <c r="E362" s="376"/>
      <c r="F362" s="275"/>
      <c r="G362" s="300"/>
      <c r="H362" s="381"/>
      <c r="I362" s="381"/>
      <c r="J362" s="381"/>
      <c r="K362" s="381"/>
      <c r="L362" s="381"/>
      <c r="M362" s="381"/>
      <c r="N362" s="381"/>
    </row>
    <row r="363" spans="1:14" s="302" customFormat="1" ht="13.5">
      <c r="A363" s="298"/>
      <c r="B363" s="275"/>
      <c r="C363" s="275"/>
      <c r="D363" s="275"/>
      <c r="E363" s="376"/>
      <c r="F363" s="275"/>
      <c r="G363" s="300"/>
      <c r="H363" s="381"/>
      <c r="I363" s="381"/>
      <c r="J363" s="381"/>
      <c r="K363" s="381"/>
      <c r="L363" s="381"/>
      <c r="M363" s="381"/>
      <c r="N363" s="381"/>
    </row>
    <row r="364" spans="1:14" s="302" customFormat="1" ht="13.5">
      <c r="A364" s="298"/>
      <c r="B364" s="275"/>
      <c r="C364" s="275"/>
      <c r="D364" s="275"/>
      <c r="E364" s="396"/>
      <c r="F364" s="275"/>
      <c r="G364" s="300"/>
      <c r="H364" s="381"/>
      <c r="I364" s="381"/>
      <c r="J364" s="381"/>
      <c r="K364" s="381"/>
      <c r="L364" s="381"/>
      <c r="M364" s="381"/>
      <c r="N364" s="381"/>
    </row>
    <row r="365" spans="1:14" s="302" customFormat="1" ht="13.5">
      <c r="A365" s="298"/>
      <c r="B365" s="255"/>
      <c r="C365" s="275"/>
      <c r="D365" s="275"/>
      <c r="E365" s="376"/>
      <c r="F365" s="275"/>
      <c r="G365" s="300"/>
      <c r="H365" s="381"/>
      <c r="I365" s="381"/>
      <c r="J365" s="381"/>
      <c r="K365" s="381"/>
      <c r="L365" s="381"/>
      <c r="M365" s="381"/>
      <c r="N365" s="381"/>
    </row>
    <row r="366" spans="1:14" s="302" customFormat="1" ht="13.5">
      <c r="A366" s="294"/>
      <c r="B366" s="275"/>
      <c r="C366" s="255"/>
      <c r="D366" s="255"/>
      <c r="E366" s="369"/>
      <c r="F366" s="255"/>
      <c r="G366" s="284"/>
      <c r="H366" s="381"/>
      <c r="I366" s="381"/>
      <c r="J366" s="381"/>
      <c r="K366" s="381"/>
      <c r="L366" s="381"/>
      <c r="M366" s="381"/>
      <c r="N366" s="381"/>
    </row>
    <row r="367" spans="1:14" s="302" customFormat="1" ht="13.5">
      <c r="A367" s="297"/>
      <c r="B367" s="275"/>
      <c r="C367" s="275"/>
      <c r="D367" s="275"/>
      <c r="E367" s="376"/>
      <c r="F367" s="372"/>
      <c r="G367" s="300"/>
      <c r="H367" s="381"/>
      <c r="I367" s="381"/>
      <c r="J367" s="381"/>
      <c r="K367" s="381"/>
      <c r="L367" s="381"/>
      <c r="M367" s="381"/>
      <c r="N367" s="381"/>
    </row>
    <row r="368" spans="1:14" s="302" customFormat="1" ht="13.5">
      <c r="A368" s="297"/>
      <c r="B368" s="275"/>
      <c r="C368" s="275"/>
      <c r="D368" s="275"/>
      <c r="E368" s="376"/>
      <c r="F368" s="275"/>
      <c r="G368" s="300"/>
      <c r="H368" s="381"/>
      <c r="I368" s="381"/>
      <c r="J368" s="381"/>
      <c r="K368" s="381"/>
      <c r="L368" s="381"/>
      <c r="M368" s="381"/>
      <c r="N368" s="381"/>
    </row>
    <row r="369" spans="1:14" s="302" customFormat="1" ht="13.5">
      <c r="A369" s="297"/>
      <c r="B369" s="275"/>
      <c r="C369" s="275"/>
      <c r="D369" s="275"/>
      <c r="E369" s="376"/>
      <c r="F369" s="275"/>
      <c r="G369" s="377"/>
      <c r="H369" s="381"/>
      <c r="I369" s="381"/>
      <c r="J369" s="381"/>
      <c r="K369" s="381"/>
      <c r="L369" s="381"/>
      <c r="M369" s="381"/>
      <c r="N369" s="381"/>
    </row>
    <row r="370" spans="1:14" s="302" customFormat="1" ht="13.5">
      <c r="A370" s="298"/>
      <c r="B370" s="275"/>
      <c r="C370" s="275"/>
      <c r="D370" s="275"/>
      <c r="E370" s="387"/>
      <c r="F370" s="388"/>
      <c r="G370" s="377"/>
      <c r="H370" s="381"/>
      <c r="I370" s="381"/>
      <c r="J370" s="381"/>
      <c r="K370" s="381"/>
      <c r="L370" s="381"/>
      <c r="M370" s="381"/>
      <c r="N370" s="381"/>
    </row>
    <row r="371" spans="1:14" s="302" customFormat="1" ht="13.5">
      <c r="A371" s="297"/>
      <c r="B371" s="275"/>
      <c r="C371" s="275"/>
      <c r="D371" s="275"/>
      <c r="E371" s="376"/>
      <c r="F371" s="275"/>
      <c r="G371" s="300"/>
      <c r="H371" s="381"/>
      <c r="I371" s="381"/>
      <c r="J371" s="381"/>
      <c r="K371" s="381"/>
      <c r="L371" s="381"/>
      <c r="M371" s="381"/>
      <c r="N371" s="381"/>
    </row>
    <row r="372" spans="1:14" s="302" customFormat="1" ht="13.5">
      <c r="A372" s="297"/>
      <c r="B372" s="275"/>
      <c r="C372" s="275"/>
      <c r="D372" s="275"/>
      <c r="E372" s="376"/>
      <c r="F372" s="275"/>
      <c r="G372" s="300"/>
      <c r="H372" s="381"/>
      <c r="I372" s="381"/>
      <c r="J372" s="381"/>
      <c r="K372" s="381"/>
      <c r="L372" s="381"/>
      <c r="M372" s="381"/>
      <c r="N372" s="381"/>
    </row>
    <row r="373" spans="1:14" s="302" customFormat="1" ht="13.5">
      <c r="A373" s="297"/>
      <c r="B373" s="255"/>
      <c r="C373" s="275"/>
      <c r="D373" s="275"/>
      <c r="E373" s="376"/>
      <c r="F373" s="275"/>
      <c r="G373" s="300"/>
      <c r="H373" s="381"/>
      <c r="I373" s="381"/>
      <c r="J373" s="381"/>
      <c r="K373" s="381"/>
      <c r="L373" s="381"/>
      <c r="M373" s="381"/>
      <c r="N373" s="381"/>
    </row>
    <row r="374" spans="1:14" s="302" customFormat="1" ht="13.5">
      <c r="A374" s="294"/>
      <c r="B374" s="275"/>
      <c r="C374" s="367"/>
      <c r="D374" s="255"/>
      <c r="E374" s="296"/>
      <c r="F374" s="255"/>
      <c r="G374" s="370"/>
      <c r="H374" s="381"/>
      <c r="I374" s="381"/>
      <c r="J374" s="381"/>
      <c r="K374" s="381"/>
      <c r="L374" s="381"/>
      <c r="M374" s="381"/>
      <c r="N374" s="381"/>
    </row>
    <row r="375" spans="1:14" s="302" customFormat="1" ht="13.5">
      <c r="A375" s="297"/>
      <c r="B375" s="275"/>
      <c r="C375" s="275"/>
      <c r="D375" s="275"/>
      <c r="E375" s="376"/>
      <c r="F375" s="372"/>
      <c r="G375" s="377"/>
      <c r="H375" s="381"/>
      <c r="I375" s="381"/>
      <c r="J375" s="381"/>
      <c r="K375" s="381"/>
      <c r="L375" s="381"/>
      <c r="M375" s="381"/>
      <c r="N375" s="381"/>
    </row>
    <row r="376" spans="1:14" s="302" customFormat="1" ht="13.5">
      <c r="A376" s="297"/>
      <c r="B376" s="275"/>
      <c r="C376" s="275"/>
      <c r="D376" s="275"/>
      <c r="E376" s="376"/>
      <c r="F376" s="275"/>
      <c r="G376" s="377"/>
      <c r="H376" s="381"/>
      <c r="I376" s="381"/>
      <c r="J376" s="381"/>
      <c r="K376" s="381"/>
      <c r="L376" s="381"/>
      <c r="M376" s="381"/>
      <c r="N376" s="381"/>
    </row>
    <row r="377" spans="1:14" s="302" customFormat="1" ht="13.5">
      <c r="A377" s="297"/>
      <c r="B377" s="275"/>
      <c r="C377" s="275"/>
      <c r="D377" s="275"/>
      <c r="E377" s="376"/>
      <c r="F377" s="388"/>
      <c r="G377" s="377"/>
      <c r="H377" s="381"/>
      <c r="I377" s="381"/>
      <c r="J377" s="381"/>
      <c r="K377" s="381"/>
      <c r="L377" s="381"/>
      <c r="M377" s="381"/>
      <c r="N377" s="381"/>
    </row>
    <row r="378" spans="1:14" s="302" customFormat="1" ht="13.5">
      <c r="A378" s="297"/>
      <c r="B378" s="275"/>
      <c r="C378" s="275"/>
      <c r="D378" s="275"/>
      <c r="E378" s="376"/>
      <c r="F378" s="388"/>
      <c r="G378" s="377"/>
      <c r="H378" s="381"/>
      <c r="I378" s="381"/>
      <c r="J378" s="381"/>
      <c r="K378" s="381"/>
      <c r="L378" s="381"/>
      <c r="M378" s="381"/>
      <c r="N378" s="381"/>
    </row>
    <row r="379" spans="1:14" s="302" customFormat="1" ht="13.5">
      <c r="A379" s="297"/>
      <c r="B379" s="255"/>
      <c r="C379" s="275"/>
      <c r="D379" s="275"/>
      <c r="E379" s="376"/>
      <c r="F379" s="275"/>
      <c r="G379" s="377"/>
      <c r="H379" s="381"/>
      <c r="I379" s="381"/>
      <c r="J379" s="381"/>
      <c r="K379" s="381"/>
      <c r="L379" s="381"/>
      <c r="M379" s="381"/>
      <c r="N379" s="381"/>
    </row>
    <row r="380" spans="1:14" s="302" customFormat="1" ht="13.5">
      <c r="A380" s="384"/>
      <c r="B380" s="275"/>
      <c r="C380" s="255"/>
      <c r="D380" s="255"/>
      <c r="E380" s="296"/>
      <c r="F380" s="255"/>
      <c r="G380" s="370"/>
      <c r="H380" s="381"/>
      <c r="I380" s="381"/>
      <c r="J380" s="381"/>
      <c r="K380" s="381"/>
      <c r="L380" s="381"/>
      <c r="M380" s="381"/>
      <c r="N380" s="381"/>
    </row>
    <row r="381" spans="1:14" s="302" customFormat="1" ht="13.5">
      <c r="A381" s="298"/>
      <c r="B381" s="275"/>
      <c r="C381" s="275"/>
      <c r="D381" s="275"/>
      <c r="E381" s="376"/>
      <c r="F381" s="372"/>
      <c r="G381" s="377"/>
      <c r="H381" s="381"/>
      <c r="I381" s="381"/>
      <c r="J381" s="381"/>
      <c r="K381" s="381"/>
      <c r="L381" s="381"/>
      <c r="M381" s="381"/>
      <c r="N381" s="381"/>
    </row>
    <row r="382" spans="1:14" s="302" customFormat="1" ht="13.5">
      <c r="A382" s="298"/>
      <c r="B382" s="275"/>
      <c r="C382" s="275"/>
      <c r="D382" s="275"/>
      <c r="E382" s="376"/>
      <c r="F382" s="275"/>
      <c r="G382" s="377"/>
      <c r="H382" s="381"/>
      <c r="I382" s="381"/>
      <c r="J382" s="381"/>
      <c r="K382" s="381"/>
      <c r="L382" s="381"/>
      <c r="M382" s="381"/>
      <c r="N382" s="381"/>
    </row>
    <row r="383" spans="1:14" s="302" customFormat="1" ht="13.5">
      <c r="A383" s="298"/>
      <c r="B383" s="275"/>
      <c r="C383" s="275"/>
      <c r="D383" s="275"/>
      <c r="E383" s="376"/>
      <c r="F383" s="275"/>
      <c r="G383" s="377"/>
      <c r="H383" s="381"/>
      <c r="I383" s="381"/>
      <c r="J383" s="381"/>
      <c r="K383" s="381"/>
      <c r="L383" s="381"/>
      <c r="M383" s="381"/>
      <c r="N383" s="381"/>
    </row>
    <row r="384" spans="1:14" s="302" customFormat="1" ht="13.5">
      <c r="A384" s="298"/>
      <c r="B384" s="255"/>
      <c r="C384" s="275"/>
      <c r="D384" s="275"/>
      <c r="E384" s="376"/>
      <c r="F384" s="275"/>
      <c r="G384" s="377"/>
      <c r="H384" s="381"/>
      <c r="I384" s="381"/>
      <c r="J384" s="381"/>
      <c r="K384" s="381"/>
      <c r="L384" s="381"/>
      <c r="M384" s="381"/>
      <c r="N384" s="381"/>
    </row>
    <row r="385" spans="1:14" s="302" customFormat="1" ht="13.5">
      <c r="A385" s="384"/>
      <c r="B385" s="275"/>
      <c r="C385" s="255"/>
      <c r="D385" s="255"/>
      <c r="E385" s="296"/>
      <c r="F385" s="255"/>
      <c r="G385" s="370"/>
      <c r="H385" s="381"/>
      <c r="I385" s="381"/>
      <c r="J385" s="381"/>
      <c r="K385" s="381"/>
      <c r="L385" s="381"/>
      <c r="M385" s="381"/>
      <c r="N385" s="381"/>
    </row>
    <row r="386" spans="1:14" s="302" customFormat="1" ht="13.5">
      <c r="A386" s="298"/>
      <c r="B386" s="275"/>
      <c r="C386" s="275"/>
      <c r="D386" s="275"/>
      <c r="E386" s="376"/>
      <c r="F386" s="372"/>
      <c r="G386" s="377"/>
      <c r="H386" s="381"/>
      <c r="I386" s="381"/>
      <c r="J386" s="381"/>
      <c r="K386" s="381"/>
      <c r="L386" s="381"/>
      <c r="M386" s="381"/>
      <c r="N386" s="381"/>
    </row>
    <row r="387" spans="1:14" s="302" customFormat="1" ht="13.5">
      <c r="A387" s="298"/>
      <c r="B387" s="275"/>
      <c r="C387" s="275"/>
      <c r="D387" s="275"/>
      <c r="E387" s="376"/>
      <c r="F387" s="275"/>
      <c r="G387" s="377"/>
      <c r="H387" s="381"/>
      <c r="I387" s="381"/>
      <c r="J387" s="381"/>
      <c r="K387" s="381"/>
      <c r="L387" s="381"/>
      <c r="M387" s="381"/>
      <c r="N387" s="381"/>
    </row>
    <row r="388" spans="1:7" s="302" customFormat="1" ht="13.5">
      <c r="A388" s="177"/>
      <c r="B388" s="179"/>
      <c r="C388" s="179"/>
      <c r="D388" s="179"/>
      <c r="E388" s="260"/>
      <c r="F388" s="179"/>
      <c r="G388" s="252"/>
    </row>
    <row r="389" spans="1:7" s="302" customFormat="1" ht="13.5">
      <c r="A389" s="177"/>
      <c r="B389" s="179"/>
      <c r="C389" s="179"/>
      <c r="D389" s="179"/>
      <c r="E389" s="260"/>
      <c r="F389" s="179"/>
      <c r="G389" s="252"/>
    </row>
    <row r="390" spans="1:7" s="302" customFormat="1" ht="13.5">
      <c r="A390" s="177"/>
      <c r="B390" s="179"/>
      <c r="C390" s="179"/>
      <c r="D390" s="179"/>
      <c r="E390" s="260"/>
      <c r="F390" s="179"/>
      <c r="G390" s="252"/>
    </row>
    <row r="391" spans="1:7" s="302" customFormat="1" ht="13.5">
      <c r="A391" s="177"/>
      <c r="B391" s="179"/>
      <c r="C391" s="179"/>
      <c r="D391" s="179"/>
      <c r="E391" s="260"/>
      <c r="F391" s="179"/>
      <c r="G391" s="252"/>
    </row>
    <row r="392" spans="1:7" s="302" customFormat="1" ht="13.5">
      <c r="A392" s="177"/>
      <c r="B392" s="179"/>
      <c r="C392" s="179"/>
      <c r="D392" s="179"/>
      <c r="E392" s="260"/>
      <c r="F392" s="260"/>
      <c r="G392" s="252"/>
    </row>
    <row r="393" spans="1:7" s="302" customFormat="1" ht="13.5">
      <c r="A393" s="177"/>
      <c r="B393" s="179"/>
      <c r="C393" s="179"/>
      <c r="D393" s="179"/>
      <c r="E393" s="260"/>
      <c r="F393" s="179"/>
      <c r="G393" s="252"/>
    </row>
    <row r="394" spans="1:7" s="302" customFormat="1" ht="13.5">
      <c r="A394" s="177"/>
      <c r="B394" s="178"/>
      <c r="C394" s="179"/>
      <c r="D394" s="179"/>
      <c r="E394" s="260"/>
      <c r="F394" s="179"/>
      <c r="G394" s="252"/>
    </row>
    <row r="395" spans="1:7" s="302" customFormat="1" ht="13.5">
      <c r="A395" s="180"/>
      <c r="B395" s="179"/>
      <c r="C395" s="178"/>
      <c r="D395" s="178"/>
      <c r="E395" s="267"/>
      <c r="F395" s="178"/>
      <c r="G395" s="361"/>
    </row>
    <row r="396" spans="1:7" s="302" customFormat="1" ht="13.5">
      <c r="A396" s="177"/>
      <c r="B396" s="178"/>
      <c r="C396" s="179"/>
      <c r="D396" s="179"/>
      <c r="E396" s="260"/>
      <c r="F396" s="179"/>
      <c r="G396" s="252"/>
    </row>
    <row r="397" spans="1:7" s="302" customFormat="1" ht="13.5">
      <c r="A397" s="180"/>
      <c r="B397" s="179"/>
      <c r="C397" s="178"/>
      <c r="D397" s="178"/>
      <c r="E397" s="261"/>
      <c r="F397" s="178"/>
      <c r="G397" s="361"/>
    </row>
    <row r="398" spans="1:7" s="302" customFormat="1" ht="13.5">
      <c r="A398" s="177"/>
      <c r="B398" s="178"/>
      <c r="C398" s="179"/>
      <c r="D398" s="179"/>
      <c r="E398" s="270"/>
      <c r="F398" s="179"/>
      <c r="G398" s="252"/>
    </row>
    <row r="399" spans="1:7" s="302" customFormat="1" ht="13.5">
      <c r="A399" s="253"/>
      <c r="B399" s="179"/>
      <c r="C399" s="178"/>
      <c r="D399" s="178"/>
      <c r="E399" s="261"/>
      <c r="F399" s="178"/>
      <c r="G399" s="361"/>
    </row>
    <row r="400" spans="1:7" s="302" customFormat="1" ht="13.5">
      <c r="A400" s="139"/>
      <c r="B400" s="179"/>
      <c r="C400" s="179"/>
      <c r="D400" s="179"/>
      <c r="E400" s="263"/>
      <c r="F400" s="179"/>
      <c r="G400" s="360"/>
    </row>
    <row r="401" spans="1:7" s="302" customFormat="1" ht="13.5">
      <c r="A401" s="139"/>
      <c r="B401" s="179"/>
      <c r="C401" s="179"/>
      <c r="D401" s="179"/>
      <c r="E401" s="260"/>
      <c r="F401" s="179"/>
      <c r="G401" s="252"/>
    </row>
    <row r="402" spans="1:7" s="302" customFormat="1" ht="13.5">
      <c r="A402" s="139"/>
      <c r="B402" s="178"/>
      <c r="C402" s="179"/>
      <c r="D402" s="179"/>
      <c r="E402" s="260"/>
      <c r="F402" s="179"/>
      <c r="G402" s="252"/>
    </row>
    <row r="403" spans="1:7" s="302" customFormat="1" ht="13.5">
      <c r="A403" s="180"/>
      <c r="B403" s="179"/>
      <c r="C403" s="178"/>
      <c r="D403" s="178"/>
      <c r="E403" s="363"/>
      <c r="F403" s="178"/>
      <c r="G403" s="361"/>
    </row>
    <row r="404" spans="1:7" s="302" customFormat="1" ht="13.5">
      <c r="A404" s="139"/>
      <c r="B404" s="179"/>
      <c r="C404" s="179"/>
      <c r="D404" s="179"/>
      <c r="E404" s="260"/>
      <c r="F404" s="179"/>
      <c r="G404" s="360"/>
    </row>
    <row r="405" spans="1:7" s="302" customFormat="1" ht="13.5">
      <c r="A405" s="139"/>
      <c r="B405" s="179"/>
      <c r="C405" s="179"/>
      <c r="D405" s="265"/>
      <c r="E405" s="260"/>
      <c r="F405" s="260"/>
      <c r="G405" s="252"/>
    </row>
    <row r="406" spans="1:7" s="302" customFormat="1" ht="13.5">
      <c r="A406" s="139"/>
      <c r="B406" s="178"/>
      <c r="C406" s="179"/>
      <c r="D406" s="179"/>
      <c r="E406" s="260"/>
      <c r="F406" s="179"/>
      <c r="G406" s="252"/>
    </row>
    <row r="407" spans="1:7" s="302" customFormat="1" ht="13.5">
      <c r="A407" s="253"/>
      <c r="B407" s="179"/>
      <c r="C407" s="178"/>
      <c r="D407" s="178"/>
      <c r="E407" s="178"/>
      <c r="F407" s="178"/>
      <c r="G407" s="361"/>
    </row>
    <row r="408" spans="1:7" s="302" customFormat="1" ht="13.5">
      <c r="A408" s="139"/>
      <c r="B408" s="179"/>
      <c r="C408" s="179"/>
      <c r="D408" s="179"/>
      <c r="E408" s="260"/>
      <c r="F408" s="179"/>
      <c r="G408" s="360"/>
    </row>
    <row r="409" spans="1:7" s="302" customFormat="1" ht="13.5">
      <c r="A409" s="139"/>
      <c r="B409" s="179"/>
      <c r="C409" s="179"/>
      <c r="D409" s="179"/>
      <c r="E409" s="260"/>
      <c r="F409" s="270"/>
      <c r="G409" s="252"/>
    </row>
    <row r="410" spans="1:7" s="302" customFormat="1" ht="13.5">
      <c r="A410" s="139"/>
      <c r="B410" s="178"/>
      <c r="C410" s="179"/>
      <c r="D410" s="179"/>
      <c r="E410" s="260"/>
      <c r="F410" s="179"/>
      <c r="G410" s="252"/>
    </row>
    <row r="411" spans="1:7" s="302" customFormat="1" ht="13.5">
      <c r="A411" s="253"/>
      <c r="B411" s="179"/>
      <c r="C411" s="280"/>
      <c r="D411" s="178"/>
      <c r="E411" s="261"/>
      <c r="F411" s="178"/>
      <c r="G411" s="361"/>
    </row>
    <row r="412" spans="1:7" s="302" customFormat="1" ht="13.5">
      <c r="A412" s="139"/>
      <c r="B412" s="179"/>
      <c r="C412" s="179"/>
      <c r="D412" s="179"/>
      <c r="E412" s="260"/>
      <c r="F412" s="179"/>
      <c r="G412" s="360"/>
    </row>
    <row r="413" spans="1:7" s="302" customFormat="1" ht="13.5">
      <c r="A413" s="139"/>
      <c r="B413" s="179"/>
      <c r="C413" s="179"/>
      <c r="D413" s="179"/>
      <c r="E413" s="260"/>
      <c r="F413" s="179"/>
      <c r="G413" s="252"/>
    </row>
    <row r="414" spans="1:7" s="302" customFormat="1" ht="13.5">
      <c r="A414" s="139"/>
      <c r="B414" s="179"/>
      <c r="C414" s="179"/>
      <c r="D414" s="179"/>
      <c r="E414" s="260"/>
      <c r="F414" s="179"/>
      <c r="G414" s="252"/>
    </row>
    <row r="415" spans="1:7" s="302" customFormat="1" ht="13.5">
      <c r="A415" s="139"/>
      <c r="B415" s="178"/>
      <c r="C415" s="179"/>
      <c r="D415" s="179"/>
      <c r="E415" s="260"/>
      <c r="F415" s="179"/>
      <c r="G415" s="252"/>
    </row>
    <row r="416" spans="1:7" s="302" customFormat="1" ht="13.5">
      <c r="A416" s="253"/>
      <c r="B416" s="179"/>
      <c r="C416" s="178"/>
      <c r="D416" s="178"/>
      <c r="E416" s="261"/>
      <c r="F416" s="178"/>
      <c r="G416" s="361"/>
    </row>
    <row r="417" spans="1:7" s="302" customFormat="1" ht="13.5">
      <c r="A417" s="139"/>
      <c r="B417" s="179"/>
      <c r="C417" s="179"/>
      <c r="D417" s="179"/>
      <c r="E417" s="260"/>
      <c r="F417" s="179"/>
      <c r="G417" s="360"/>
    </row>
    <row r="418" spans="1:7" s="302" customFormat="1" ht="13.5">
      <c r="A418" s="139"/>
      <c r="B418" s="179"/>
      <c r="C418" s="179"/>
      <c r="D418" s="179"/>
      <c r="E418" s="260"/>
      <c r="F418" s="179"/>
      <c r="G418" s="252"/>
    </row>
    <row r="419" spans="1:7" s="302" customFormat="1" ht="13.5">
      <c r="A419" s="139"/>
      <c r="B419" s="179"/>
      <c r="C419" s="179"/>
      <c r="D419" s="179"/>
      <c r="E419" s="260"/>
      <c r="F419" s="179"/>
      <c r="G419" s="252"/>
    </row>
    <row r="420" spans="1:7" s="302" customFormat="1" ht="13.5">
      <c r="A420" s="139"/>
      <c r="B420" s="179"/>
      <c r="C420" s="179"/>
      <c r="D420" s="179"/>
      <c r="E420" s="260"/>
      <c r="F420" s="179"/>
      <c r="G420" s="252"/>
    </row>
    <row r="421" spans="1:7" s="302" customFormat="1" ht="13.5">
      <c r="A421" s="139"/>
      <c r="B421" s="178"/>
      <c r="C421" s="179"/>
      <c r="D421" s="179"/>
      <c r="E421" s="260"/>
      <c r="F421" s="179"/>
      <c r="G421" s="252"/>
    </row>
    <row r="422" spans="1:7" s="302" customFormat="1" ht="13.5">
      <c r="A422" s="253"/>
      <c r="B422" s="179"/>
      <c r="C422" s="178"/>
      <c r="D422" s="178"/>
      <c r="E422" s="261"/>
      <c r="F422" s="178"/>
      <c r="G422" s="361"/>
    </row>
    <row r="423" spans="1:7" s="302" customFormat="1" ht="13.5">
      <c r="A423" s="139"/>
      <c r="B423" s="179"/>
      <c r="C423" s="179"/>
      <c r="D423" s="179"/>
      <c r="E423" s="260"/>
      <c r="F423" s="179"/>
      <c r="G423" s="360"/>
    </row>
    <row r="424" spans="1:7" s="302" customFormat="1" ht="13.5">
      <c r="A424" s="139"/>
      <c r="B424" s="179"/>
      <c r="C424" s="179"/>
      <c r="D424" s="271"/>
      <c r="E424" s="260"/>
      <c r="F424" s="179"/>
      <c r="G424" s="252"/>
    </row>
    <row r="425" spans="1:7" s="302" customFormat="1" ht="13.5">
      <c r="A425" s="139"/>
      <c r="B425" s="179"/>
      <c r="C425" s="179"/>
      <c r="D425" s="269"/>
      <c r="E425" s="260"/>
      <c r="F425" s="179"/>
      <c r="G425" s="252"/>
    </row>
    <row r="426" spans="1:7" s="302" customFormat="1" ht="13.5">
      <c r="A426" s="139"/>
      <c r="B426" s="178"/>
      <c r="C426" s="179"/>
      <c r="D426" s="179"/>
      <c r="E426" s="260"/>
      <c r="F426" s="179"/>
      <c r="G426" s="252"/>
    </row>
    <row r="427" spans="1:7" s="302" customFormat="1" ht="13.5">
      <c r="A427" s="253"/>
      <c r="B427" s="179"/>
      <c r="C427" s="280"/>
      <c r="D427" s="178"/>
      <c r="E427" s="261"/>
      <c r="F427" s="255"/>
      <c r="G427" s="362"/>
    </row>
    <row r="428" spans="1:7" s="302" customFormat="1" ht="13.5">
      <c r="A428" s="139"/>
      <c r="B428" s="179"/>
      <c r="C428" s="179"/>
      <c r="D428" s="179"/>
      <c r="E428" s="263"/>
      <c r="F428" s="179"/>
      <c r="G428" s="264"/>
    </row>
    <row r="429" spans="1:7" s="302" customFormat="1" ht="13.5">
      <c r="A429" s="139"/>
      <c r="B429" s="179"/>
      <c r="C429" s="251"/>
      <c r="D429" s="179"/>
      <c r="E429" s="260"/>
      <c r="F429" s="179"/>
      <c r="G429" s="252"/>
    </row>
    <row r="430" spans="1:7" s="302" customFormat="1" ht="13.5">
      <c r="A430" s="139"/>
      <c r="B430" s="179"/>
      <c r="C430" s="179"/>
      <c r="D430" s="179"/>
      <c r="E430" s="260"/>
      <c r="F430" s="179"/>
      <c r="G430" s="266"/>
    </row>
    <row r="431" spans="1:7" s="302" customFormat="1" ht="13.5">
      <c r="A431" s="139"/>
      <c r="B431" s="179"/>
      <c r="C431" s="179"/>
      <c r="D431" s="179"/>
      <c r="E431" s="260"/>
      <c r="F431" s="179"/>
      <c r="G431" s="266"/>
    </row>
    <row r="432" spans="1:7" s="302" customFormat="1" ht="13.5">
      <c r="A432" s="139"/>
      <c r="B432" s="178"/>
      <c r="C432" s="179"/>
      <c r="D432" s="179"/>
      <c r="E432" s="260"/>
      <c r="F432" s="275"/>
      <c r="G432" s="266"/>
    </row>
    <row r="433" spans="1:7" s="302" customFormat="1" ht="13.5">
      <c r="A433" s="180"/>
      <c r="B433" s="179"/>
      <c r="C433" s="178"/>
      <c r="D433" s="178"/>
      <c r="E433" s="261"/>
      <c r="F433" s="178"/>
      <c r="G433" s="361"/>
    </row>
    <row r="434" spans="1:7" s="302" customFormat="1" ht="13.5">
      <c r="A434" s="177"/>
      <c r="B434" s="179"/>
      <c r="C434" s="179"/>
      <c r="D434" s="179"/>
      <c r="E434" s="260"/>
      <c r="F434" s="179"/>
      <c r="G434" s="360"/>
    </row>
    <row r="435" spans="1:7" s="302" customFormat="1" ht="13.5">
      <c r="A435" s="177"/>
      <c r="B435" s="179"/>
      <c r="C435" s="179"/>
      <c r="D435" s="179"/>
      <c r="E435" s="260"/>
      <c r="F435" s="179"/>
      <c r="G435" s="252"/>
    </row>
    <row r="436" spans="1:7" s="302" customFormat="1" ht="13.5">
      <c r="A436" s="177"/>
      <c r="B436" s="179"/>
      <c r="C436" s="179"/>
      <c r="D436" s="179"/>
      <c r="E436" s="260"/>
      <c r="F436" s="179"/>
      <c r="G436" s="252"/>
    </row>
    <row r="437" spans="1:7" s="302" customFormat="1" ht="13.5">
      <c r="A437" s="177"/>
      <c r="B437" s="179"/>
      <c r="C437" s="179"/>
      <c r="D437" s="269"/>
      <c r="E437" s="270"/>
      <c r="F437" s="179"/>
      <c r="G437" s="252"/>
    </row>
    <row r="438" spans="1:7" s="302" customFormat="1" ht="13.5">
      <c r="A438" s="177"/>
      <c r="B438" s="178"/>
      <c r="C438" s="179"/>
      <c r="D438" s="179"/>
      <c r="E438" s="260"/>
      <c r="F438" s="179"/>
      <c r="G438" s="252"/>
    </row>
    <row r="439" spans="1:7" s="302" customFormat="1" ht="13.5">
      <c r="A439" s="253"/>
      <c r="B439" s="179"/>
      <c r="C439" s="178"/>
      <c r="D439" s="178"/>
      <c r="E439" s="261"/>
      <c r="F439" s="178"/>
      <c r="G439" s="361"/>
    </row>
    <row r="440" spans="1:7" s="302" customFormat="1" ht="13.5">
      <c r="A440" s="139"/>
      <c r="B440" s="179"/>
      <c r="C440" s="179"/>
      <c r="D440" s="179"/>
      <c r="E440" s="260"/>
      <c r="F440" s="179"/>
      <c r="G440" s="360"/>
    </row>
    <row r="441" spans="1:7" s="302" customFormat="1" ht="13.5">
      <c r="A441" s="139"/>
      <c r="B441" s="179"/>
      <c r="C441" s="179"/>
      <c r="D441" s="179"/>
      <c r="E441" s="260"/>
      <c r="F441" s="179"/>
      <c r="G441" s="252"/>
    </row>
    <row r="442" spans="1:7" s="302" customFormat="1" ht="13.5">
      <c r="A442" s="139"/>
      <c r="B442" s="179"/>
      <c r="C442" s="179"/>
      <c r="D442" s="179"/>
      <c r="E442" s="260"/>
      <c r="F442" s="179"/>
      <c r="G442" s="252"/>
    </row>
    <row r="443" spans="1:7" s="302" customFormat="1" ht="13.5">
      <c r="A443" s="139"/>
      <c r="B443" s="179"/>
      <c r="C443" s="179"/>
      <c r="D443" s="179"/>
      <c r="E443" s="260"/>
      <c r="F443" s="179"/>
      <c r="G443" s="252"/>
    </row>
    <row r="444" spans="1:7" s="302" customFormat="1" ht="13.5">
      <c r="A444" s="139"/>
      <c r="B444" s="178"/>
      <c r="C444" s="179"/>
      <c r="D444" s="179"/>
      <c r="E444" s="260"/>
      <c r="F444" s="179"/>
      <c r="G444" s="252"/>
    </row>
    <row r="445" spans="1:7" s="302" customFormat="1" ht="13.5">
      <c r="A445" s="253"/>
      <c r="B445" s="179"/>
      <c r="C445" s="280"/>
      <c r="D445" s="178"/>
      <c r="E445" s="261"/>
      <c r="F445" s="255"/>
      <c r="G445" s="362"/>
    </row>
    <row r="446" spans="1:7" s="302" customFormat="1" ht="13.5">
      <c r="A446" s="139"/>
      <c r="B446" s="179"/>
      <c r="C446" s="179"/>
      <c r="D446" s="179"/>
      <c r="E446" s="263"/>
      <c r="F446" s="179"/>
      <c r="G446" s="264"/>
    </row>
    <row r="447" spans="1:7" s="302" customFormat="1" ht="13.5">
      <c r="A447" s="139"/>
      <c r="B447" s="179"/>
      <c r="C447" s="251"/>
      <c r="D447" s="179"/>
      <c r="E447" s="260"/>
      <c r="F447" s="179"/>
      <c r="G447" s="252"/>
    </row>
    <row r="448" spans="1:7" s="302" customFormat="1" ht="13.5">
      <c r="A448" s="139"/>
      <c r="B448" s="179"/>
      <c r="C448" s="179"/>
      <c r="D448" s="179"/>
      <c r="E448" s="260"/>
      <c r="F448" s="179"/>
      <c r="G448" s="266"/>
    </row>
    <row r="449" spans="1:7" s="302" customFormat="1" ht="13.5">
      <c r="A449" s="139"/>
      <c r="B449" s="178"/>
      <c r="C449" s="179"/>
      <c r="D449" s="179"/>
      <c r="E449" s="260"/>
      <c r="F449" s="179"/>
      <c r="G449" s="266"/>
    </row>
    <row r="450" spans="1:7" s="302" customFormat="1" ht="13.5">
      <c r="A450" s="180"/>
      <c r="B450" s="179"/>
      <c r="C450" s="178"/>
      <c r="D450" s="178"/>
      <c r="E450" s="261"/>
      <c r="F450" s="178"/>
      <c r="G450" s="362"/>
    </row>
    <row r="451" spans="1:7" s="302" customFormat="1" ht="13.5">
      <c r="A451" s="177"/>
      <c r="B451" s="179"/>
      <c r="C451" s="179"/>
      <c r="D451" s="179"/>
      <c r="E451" s="260"/>
      <c r="F451" s="179"/>
      <c r="G451" s="264"/>
    </row>
    <row r="452" spans="1:7" s="302" customFormat="1" ht="13.5">
      <c r="A452" s="177"/>
      <c r="B452" s="179"/>
      <c r="C452" s="179"/>
      <c r="D452" s="179"/>
      <c r="E452" s="260"/>
      <c r="F452" s="179"/>
      <c r="G452" s="252"/>
    </row>
    <row r="453" spans="1:7" s="302" customFormat="1" ht="13.5">
      <c r="A453" s="177"/>
      <c r="B453" s="179"/>
      <c r="C453" s="179"/>
      <c r="D453" s="179"/>
      <c r="E453" s="260"/>
      <c r="F453" s="179"/>
      <c r="G453" s="252"/>
    </row>
    <row r="454" spans="1:7" s="302" customFormat="1" ht="13.5">
      <c r="A454" s="177"/>
      <c r="B454" s="179"/>
      <c r="C454" s="179"/>
      <c r="D454" s="269"/>
      <c r="E454" s="270"/>
      <c r="F454" s="179"/>
      <c r="G454" s="252"/>
    </row>
    <row r="455" spans="1:7" s="302" customFormat="1" ht="13.5">
      <c r="A455" s="177"/>
      <c r="B455" s="178"/>
      <c r="C455" s="179"/>
      <c r="D455" s="179"/>
      <c r="E455" s="260"/>
      <c r="F455" s="179"/>
      <c r="G455" s="252"/>
    </row>
    <row r="456" spans="1:7" s="302" customFormat="1" ht="13.5">
      <c r="A456" s="276"/>
      <c r="B456" s="179"/>
      <c r="C456" s="265"/>
      <c r="D456" s="265"/>
      <c r="E456" s="263"/>
      <c r="F456" s="265"/>
      <c r="G456" s="230"/>
    </row>
    <row r="457" spans="1:7" s="302" customFormat="1" ht="13.5">
      <c r="A457" s="276"/>
      <c r="B457" s="178"/>
      <c r="C457" s="265"/>
      <c r="D457" s="265"/>
      <c r="E457" s="378"/>
      <c r="F457" s="265"/>
      <c r="G457" s="266"/>
    </row>
    <row r="458" spans="1:7" s="302" customFormat="1" ht="13.5">
      <c r="A458" s="180"/>
      <c r="B458" s="179"/>
      <c r="C458" s="273"/>
      <c r="D458" s="273"/>
      <c r="E458" s="273"/>
      <c r="F458" s="273"/>
      <c r="G458" s="230"/>
    </row>
    <row r="459" spans="1:7" s="302" customFormat="1" ht="13.5">
      <c r="A459" s="276"/>
      <c r="B459" s="178"/>
      <c r="C459" s="265"/>
      <c r="D459" s="265"/>
      <c r="E459" s="378"/>
      <c r="F459" s="265"/>
      <c r="G459" s="266"/>
    </row>
    <row r="460" spans="1:7" s="302" customFormat="1" ht="13.5">
      <c r="A460" s="139"/>
      <c r="B460" s="178"/>
      <c r="C460" s="365"/>
      <c r="D460" s="265"/>
      <c r="E460" s="265"/>
      <c r="F460" s="265"/>
      <c r="G460" s="230"/>
    </row>
    <row r="461" spans="1:7" s="302" customFormat="1" ht="13.5">
      <c r="A461" s="139"/>
      <c r="B461" s="379"/>
      <c r="C461" s="179"/>
      <c r="D461" s="179"/>
      <c r="E461" s="179"/>
      <c r="F461" s="179"/>
      <c r="G461" s="180"/>
    </row>
    <row r="462" spans="1:7" s="302" customFormat="1" ht="13.5">
      <c r="A462" s="344"/>
      <c r="C462" s="460"/>
      <c r="D462" s="460"/>
      <c r="E462" s="460"/>
      <c r="F462" s="460"/>
      <c r="G462" s="380"/>
    </row>
    <row r="463" s="302" customFormat="1" ht="12.75"/>
    <row r="464" s="302" customFormat="1" ht="12.75"/>
    <row r="465" s="302" customFormat="1" ht="12.75"/>
    <row r="466" s="302" customFormat="1" ht="12.75"/>
    <row r="467" s="302" customFormat="1" ht="12.75"/>
    <row r="468" s="302" customFormat="1" ht="12.75"/>
    <row r="469" s="302" customFormat="1" ht="12.75"/>
    <row r="470" s="302" customFormat="1" ht="12.75"/>
    <row r="471" s="302" customFormat="1" ht="12.75"/>
    <row r="472" s="302" customFormat="1" ht="12.75"/>
    <row r="473" s="302" customFormat="1" ht="12.75"/>
    <row r="474" s="302" customFormat="1" ht="12.75"/>
    <row r="475" s="302" customFormat="1" ht="12.75"/>
    <row r="476" s="302" customFormat="1" ht="12.75"/>
    <row r="477" s="302" customFormat="1" ht="12.75"/>
    <row r="478" s="302" customFormat="1" ht="12.75"/>
    <row r="479" s="302" customFormat="1" ht="12.75"/>
    <row r="480" s="302" customFormat="1" ht="12.75"/>
    <row r="481" s="302" customFormat="1" ht="12.75"/>
    <row r="482" s="302" customFormat="1" ht="12.75"/>
    <row r="483" s="302" customFormat="1" ht="12.75"/>
    <row r="484" s="302" customFormat="1" ht="12.75"/>
    <row r="485" s="302" customFormat="1" ht="12.75"/>
    <row r="486" s="302" customFormat="1" ht="12.75"/>
    <row r="487" s="302" customFormat="1" ht="12.75">
      <c r="B487"/>
    </row>
  </sheetData>
  <sheetProtection password="CF2D" sheet="1"/>
  <mergeCells count="10">
    <mergeCell ref="B49:G49"/>
    <mergeCell ref="A1:G1"/>
    <mergeCell ref="A2:G2"/>
    <mergeCell ref="A3:G3"/>
    <mergeCell ref="C462:F462"/>
    <mergeCell ref="A4:A5"/>
    <mergeCell ref="B4:B5"/>
    <mergeCell ref="C4:C5"/>
    <mergeCell ref="D4:E4"/>
    <mergeCell ref="F4:G4"/>
  </mergeCells>
  <printOptions/>
  <pageMargins left="0.7" right="0.47" top="0.52" bottom="0.57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F8" sqref="F8:G95"/>
    </sheetView>
  </sheetViews>
  <sheetFormatPr defaultColWidth="9.140625" defaultRowHeight="12.75"/>
  <cols>
    <col min="1" max="1" width="5.421875" style="0" customWidth="1"/>
    <col min="2" max="2" width="36.28125" style="0" customWidth="1"/>
    <col min="3" max="3" width="8.140625" style="0" customWidth="1"/>
    <col min="4" max="4" width="7.140625" style="0" customWidth="1"/>
    <col min="6" max="6" width="10.140625" style="0" customWidth="1"/>
    <col min="7" max="7" width="15.140625" style="0" customWidth="1"/>
  </cols>
  <sheetData>
    <row r="1" spans="1:7" ht="45.75" customHeight="1">
      <c r="A1" s="469" t="s">
        <v>824</v>
      </c>
      <c r="B1" s="470"/>
      <c r="C1" s="470"/>
      <c r="D1" s="470"/>
      <c r="E1" s="470"/>
      <c r="F1" s="470"/>
      <c r="G1" s="470"/>
    </row>
    <row r="2" spans="1:7" ht="20.25" customHeight="1">
      <c r="A2" s="471" t="s">
        <v>804</v>
      </c>
      <c r="B2" s="471"/>
      <c r="C2" s="471"/>
      <c r="D2" s="471"/>
      <c r="E2" s="471"/>
      <c r="F2" s="471"/>
      <c r="G2" s="471"/>
    </row>
    <row r="3" spans="1:7" ht="7.5" customHeight="1">
      <c r="A3" s="496"/>
      <c r="B3" s="496"/>
      <c r="C3" s="496"/>
      <c r="D3" s="496"/>
      <c r="E3" s="496"/>
      <c r="F3" s="496"/>
      <c r="G3" s="496"/>
    </row>
    <row r="4" spans="1:7" ht="29.25" customHeight="1">
      <c r="A4" s="497" t="s">
        <v>787</v>
      </c>
      <c r="B4" s="497"/>
      <c r="C4" s="497"/>
      <c r="D4" s="497"/>
      <c r="E4" s="497"/>
      <c r="F4" s="497"/>
      <c r="G4" s="497"/>
    </row>
    <row r="5" spans="1:7" ht="26.25" customHeight="1">
      <c r="A5" s="461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</row>
    <row r="6" spans="1:7" ht="46.5">
      <c r="A6" s="461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</row>
    <row r="7" spans="1:7" ht="13.5">
      <c r="A7" s="198" t="s">
        <v>51</v>
      </c>
      <c r="B7" s="248">
        <v>3</v>
      </c>
      <c r="C7" s="248">
        <v>4</v>
      </c>
      <c r="D7" s="248">
        <v>5</v>
      </c>
      <c r="E7" s="248">
        <v>6</v>
      </c>
      <c r="F7" s="248">
        <v>7</v>
      </c>
      <c r="G7" s="234">
        <v>8</v>
      </c>
    </row>
    <row r="8" spans="1:7" ht="39.75" customHeight="1">
      <c r="A8" s="234">
        <v>1</v>
      </c>
      <c r="B8" s="133" t="s">
        <v>805</v>
      </c>
      <c r="C8" s="133" t="s">
        <v>59</v>
      </c>
      <c r="D8" s="358"/>
      <c r="E8" s="242">
        <v>2</v>
      </c>
      <c r="F8" s="510"/>
      <c r="G8" s="511"/>
    </row>
    <row r="9" spans="1:7" ht="28.5" customHeight="1">
      <c r="A9" s="181"/>
      <c r="B9" s="91" t="s">
        <v>66</v>
      </c>
      <c r="C9" s="91" t="s">
        <v>44</v>
      </c>
      <c r="D9" s="91">
        <f>1.15*2.06</f>
        <v>2.3689999999999998</v>
      </c>
      <c r="E9" s="86">
        <f>E8*D9</f>
        <v>4.7379999999999995</v>
      </c>
      <c r="F9" s="518"/>
      <c r="G9" s="513"/>
    </row>
    <row r="10" spans="1:7" ht="60" customHeight="1">
      <c r="A10" s="198" t="s">
        <v>67</v>
      </c>
      <c r="B10" s="133" t="s">
        <v>852</v>
      </c>
      <c r="C10" s="133" t="s">
        <v>52</v>
      </c>
      <c r="D10" s="133"/>
      <c r="E10" s="133">
        <v>7.5</v>
      </c>
      <c r="F10" s="510"/>
      <c r="G10" s="511"/>
    </row>
    <row r="11" spans="1:7" ht="22.5" customHeight="1">
      <c r="A11" s="181"/>
      <c r="B11" s="91" t="s">
        <v>552</v>
      </c>
      <c r="C11" s="102" t="s">
        <v>44</v>
      </c>
      <c r="D11" s="91">
        <f>1.15*2.9</f>
        <v>3.3349999999999995</v>
      </c>
      <c r="E11" s="86">
        <f>D11*E10</f>
        <v>25.012499999999996</v>
      </c>
      <c r="F11" s="519"/>
      <c r="G11" s="513"/>
    </row>
    <row r="12" spans="1:7" ht="23.25" customHeight="1">
      <c r="A12" s="181"/>
      <c r="B12" s="91" t="s">
        <v>788</v>
      </c>
      <c r="C12" s="91" t="s">
        <v>52</v>
      </c>
      <c r="D12" s="91">
        <v>1.015</v>
      </c>
      <c r="E12" s="86">
        <f>E10*D12</f>
        <v>7.612499999999999</v>
      </c>
      <c r="F12" s="518"/>
      <c r="G12" s="513"/>
    </row>
    <row r="13" spans="1:7" ht="15.75" customHeight="1">
      <c r="A13" s="181"/>
      <c r="B13" s="102" t="s">
        <v>63</v>
      </c>
      <c r="C13" s="91" t="s">
        <v>54</v>
      </c>
      <c r="D13" s="91">
        <v>0.88</v>
      </c>
      <c r="E13" s="86">
        <f>D13*E10</f>
        <v>6.6</v>
      </c>
      <c r="F13" s="518"/>
      <c r="G13" s="513"/>
    </row>
    <row r="14" spans="1:7" ht="62.25" customHeight="1">
      <c r="A14" s="198" t="s">
        <v>112</v>
      </c>
      <c r="B14" s="431" t="s">
        <v>922</v>
      </c>
      <c r="C14" s="133" t="s">
        <v>689</v>
      </c>
      <c r="D14" s="133"/>
      <c r="E14" s="133">
        <v>0.3</v>
      </c>
      <c r="F14" s="510"/>
      <c r="G14" s="511"/>
    </row>
    <row r="15" spans="1:7" ht="20.25" customHeight="1">
      <c r="A15" s="181"/>
      <c r="B15" s="91" t="s">
        <v>753</v>
      </c>
      <c r="C15" s="102" t="s">
        <v>44</v>
      </c>
      <c r="D15" s="91">
        <f>1.15*12.3</f>
        <v>14.145</v>
      </c>
      <c r="E15" s="86">
        <f>D15*E14</f>
        <v>4.2435</v>
      </c>
      <c r="F15" s="519"/>
      <c r="G15" s="513"/>
    </row>
    <row r="16" spans="1:7" ht="25.5" customHeight="1">
      <c r="A16" s="181"/>
      <c r="B16" s="91" t="s">
        <v>754</v>
      </c>
      <c r="C16" s="91" t="s">
        <v>54</v>
      </c>
      <c r="D16" s="91">
        <f>1.15*1.4</f>
        <v>1.6099999999999999</v>
      </c>
      <c r="E16" s="86">
        <f>D16*E14</f>
        <v>0.48299999999999993</v>
      </c>
      <c r="F16" s="518"/>
      <c r="G16" s="513"/>
    </row>
    <row r="17" spans="1:7" ht="19.5" customHeight="1">
      <c r="A17" s="181"/>
      <c r="B17" s="91" t="s">
        <v>88</v>
      </c>
      <c r="C17" s="91" t="s">
        <v>689</v>
      </c>
      <c r="D17" s="91">
        <v>1.01</v>
      </c>
      <c r="E17" s="86">
        <f>E14*D17</f>
        <v>0.303</v>
      </c>
      <c r="F17" s="518"/>
      <c r="G17" s="513"/>
    </row>
    <row r="18" spans="1:7" ht="24" customHeight="1">
      <c r="A18" s="181"/>
      <c r="B18" s="102" t="s">
        <v>63</v>
      </c>
      <c r="C18" s="91" t="s">
        <v>54</v>
      </c>
      <c r="D18" s="91">
        <v>7.15</v>
      </c>
      <c r="E18" s="86">
        <f>D18*E14</f>
        <v>2.145</v>
      </c>
      <c r="F18" s="518"/>
      <c r="G18" s="513"/>
    </row>
    <row r="19" spans="1:7" ht="50.25" customHeight="1">
      <c r="A19" s="234">
        <v>4</v>
      </c>
      <c r="B19" s="133" t="s">
        <v>853</v>
      </c>
      <c r="C19" s="133" t="s">
        <v>59</v>
      </c>
      <c r="D19" s="133"/>
      <c r="E19" s="349">
        <v>25</v>
      </c>
      <c r="F19" s="510"/>
      <c r="G19" s="511"/>
    </row>
    <row r="20" spans="1:7" ht="25.5" customHeight="1">
      <c r="A20" s="181"/>
      <c r="B20" s="91" t="s">
        <v>655</v>
      </c>
      <c r="C20" s="102" t="s">
        <v>44</v>
      </c>
      <c r="D20" s="91">
        <f>1.15*3.16</f>
        <v>3.634</v>
      </c>
      <c r="E20" s="86">
        <f>D20*E19</f>
        <v>90.85</v>
      </c>
      <c r="F20" s="518"/>
      <c r="G20" s="513"/>
    </row>
    <row r="21" spans="1:7" ht="22.5" customHeight="1">
      <c r="A21" s="181"/>
      <c r="B21" s="91" t="s">
        <v>93</v>
      </c>
      <c r="C21" s="91" t="s">
        <v>52</v>
      </c>
      <c r="D21" s="91">
        <v>1.22</v>
      </c>
      <c r="E21" s="86">
        <f>D21*E19</f>
        <v>30.5</v>
      </c>
      <c r="F21" s="515"/>
      <c r="G21" s="513"/>
    </row>
    <row r="22" spans="1:7" ht="23.25" customHeight="1">
      <c r="A22" s="181"/>
      <c r="B22" s="102" t="s">
        <v>63</v>
      </c>
      <c r="C22" s="91" t="s">
        <v>54</v>
      </c>
      <c r="D22" s="91">
        <v>0.01</v>
      </c>
      <c r="E22" s="86">
        <f>D22*E19</f>
        <v>0.25</v>
      </c>
      <c r="F22" s="518"/>
      <c r="G22" s="513"/>
    </row>
    <row r="23" spans="1:7" ht="20.25" customHeight="1">
      <c r="A23" s="181"/>
      <c r="B23" s="91" t="s">
        <v>465</v>
      </c>
      <c r="C23" s="87" t="s">
        <v>62</v>
      </c>
      <c r="D23" s="91">
        <v>0.0013</v>
      </c>
      <c r="E23" s="86">
        <f>E19*D23</f>
        <v>0.0325</v>
      </c>
      <c r="F23" s="518"/>
      <c r="G23" s="509"/>
    </row>
    <row r="24" spans="1:7" ht="38.25" customHeight="1">
      <c r="A24" s="198" t="s">
        <v>71</v>
      </c>
      <c r="B24" s="133" t="s">
        <v>756</v>
      </c>
      <c r="C24" s="133" t="s">
        <v>52</v>
      </c>
      <c r="D24" s="133"/>
      <c r="E24" s="243">
        <v>4</v>
      </c>
      <c r="F24" s="510"/>
      <c r="G24" s="511"/>
    </row>
    <row r="25" spans="1:7" ht="18.75" customHeight="1">
      <c r="A25" s="181"/>
      <c r="B25" s="91" t="s">
        <v>751</v>
      </c>
      <c r="C25" s="102" t="s">
        <v>44</v>
      </c>
      <c r="D25" s="91">
        <f>1.15*3.52</f>
        <v>4.048</v>
      </c>
      <c r="E25" s="86">
        <f>D25*E24</f>
        <v>16.192</v>
      </c>
      <c r="F25" s="519"/>
      <c r="G25" s="513"/>
    </row>
    <row r="26" spans="1:7" ht="20.25" customHeight="1">
      <c r="A26" s="181"/>
      <c r="B26" s="91" t="s">
        <v>752</v>
      </c>
      <c r="C26" s="91" t="s">
        <v>54</v>
      </c>
      <c r="D26" s="91">
        <f>1.15*1.06</f>
        <v>1.2189999999999999</v>
      </c>
      <c r="E26" s="86">
        <f>D26*E24</f>
        <v>4.8759999999999994</v>
      </c>
      <c r="F26" s="518"/>
      <c r="G26" s="513"/>
    </row>
    <row r="27" spans="1:7" ht="18" customHeight="1">
      <c r="A27" s="181"/>
      <c r="B27" s="91" t="s">
        <v>570</v>
      </c>
      <c r="C27" s="91" t="s">
        <v>52</v>
      </c>
      <c r="D27" s="91">
        <v>1.24</v>
      </c>
      <c r="E27" s="86">
        <f>D27*E24</f>
        <v>4.96</v>
      </c>
      <c r="F27" s="518"/>
      <c r="G27" s="513"/>
    </row>
    <row r="28" spans="1:7" ht="22.5" customHeight="1">
      <c r="A28" s="181"/>
      <c r="B28" s="102" t="s">
        <v>63</v>
      </c>
      <c r="C28" s="91" t="s">
        <v>54</v>
      </c>
      <c r="D28" s="91">
        <v>0.02</v>
      </c>
      <c r="E28" s="86">
        <f>D28*E24</f>
        <v>0.08</v>
      </c>
      <c r="F28" s="518"/>
      <c r="G28" s="513"/>
    </row>
    <row r="29" spans="1:7" ht="43.5" customHeight="1">
      <c r="A29" s="198" t="s">
        <v>75</v>
      </c>
      <c r="B29" s="133" t="s">
        <v>806</v>
      </c>
      <c r="C29" s="133" t="s">
        <v>52</v>
      </c>
      <c r="D29" s="133"/>
      <c r="E29" s="133">
        <v>9.6</v>
      </c>
      <c r="F29" s="510"/>
      <c r="G29" s="511"/>
    </row>
    <row r="30" spans="1:7" ht="20.25" customHeight="1">
      <c r="A30" s="181"/>
      <c r="B30" s="91" t="s">
        <v>552</v>
      </c>
      <c r="C30" s="102" t="s">
        <v>44</v>
      </c>
      <c r="D30" s="91">
        <f>1.15*2.9</f>
        <v>3.3349999999999995</v>
      </c>
      <c r="E30" s="86">
        <f>D30*E29</f>
        <v>32.01599999999999</v>
      </c>
      <c r="F30" s="519"/>
      <c r="G30" s="513"/>
    </row>
    <row r="31" spans="1:7" ht="21" customHeight="1">
      <c r="A31" s="181"/>
      <c r="B31" s="91" t="s">
        <v>788</v>
      </c>
      <c r="C31" s="91" t="s">
        <v>52</v>
      </c>
      <c r="D31" s="91">
        <v>1.015</v>
      </c>
      <c r="E31" s="86">
        <f>E29*D31</f>
        <v>9.743999999999998</v>
      </c>
      <c r="F31" s="518"/>
      <c r="G31" s="513"/>
    </row>
    <row r="32" spans="1:7" ht="20.25" customHeight="1">
      <c r="A32" s="181"/>
      <c r="B32" s="102" t="s">
        <v>63</v>
      </c>
      <c r="C32" s="91" t="s">
        <v>54</v>
      </c>
      <c r="D32" s="91">
        <v>0.88</v>
      </c>
      <c r="E32" s="86">
        <f>D32*E29</f>
        <v>8.448</v>
      </c>
      <c r="F32" s="518"/>
      <c r="G32" s="513"/>
    </row>
    <row r="33" spans="1:7" ht="52.5" customHeight="1">
      <c r="A33" s="198" t="s">
        <v>76</v>
      </c>
      <c r="B33" s="431" t="s">
        <v>923</v>
      </c>
      <c r="C33" s="133" t="s">
        <v>689</v>
      </c>
      <c r="D33" s="133"/>
      <c r="E33" s="133">
        <v>0.48</v>
      </c>
      <c r="F33" s="510"/>
      <c r="G33" s="511"/>
    </row>
    <row r="34" spans="1:7" ht="24" customHeight="1">
      <c r="A34" s="181"/>
      <c r="B34" s="91" t="s">
        <v>753</v>
      </c>
      <c r="C34" s="102" t="s">
        <v>44</v>
      </c>
      <c r="D34" s="91">
        <f>1.15*12.3</f>
        <v>14.145</v>
      </c>
      <c r="E34" s="86">
        <f>D34*E33</f>
        <v>6.789599999999999</v>
      </c>
      <c r="F34" s="519"/>
      <c r="G34" s="513"/>
    </row>
    <row r="35" spans="1:7" ht="23.25" customHeight="1">
      <c r="A35" s="181"/>
      <c r="B35" s="91" t="s">
        <v>754</v>
      </c>
      <c r="C35" s="91" t="s">
        <v>54</v>
      </c>
      <c r="D35" s="91">
        <f>1.15*1.4</f>
        <v>1.6099999999999999</v>
      </c>
      <c r="E35" s="86">
        <f>D35*E33</f>
        <v>0.7727999999999999</v>
      </c>
      <c r="F35" s="518"/>
      <c r="G35" s="513"/>
    </row>
    <row r="36" spans="1:7" ht="20.25" customHeight="1">
      <c r="A36" s="181"/>
      <c r="B36" s="91" t="s">
        <v>88</v>
      </c>
      <c r="C36" s="91" t="s">
        <v>689</v>
      </c>
      <c r="D36" s="91">
        <v>1.01</v>
      </c>
      <c r="E36" s="86">
        <f>E33*D36</f>
        <v>0.4848</v>
      </c>
      <c r="F36" s="518"/>
      <c r="G36" s="513"/>
    </row>
    <row r="37" spans="1:7" ht="24" customHeight="1">
      <c r="A37" s="181"/>
      <c r="B37" s="102" t="s">
        <v>63</v>
      </c>
      <c r="C37" s="91" t="s">
        <v>54</v>
      </c>
      <c r="D37" s="91">
        <v>7.15</v>
      </c>
      <c r="E37" s="86">
        <f>D37*E33</f>
        <v>3.432</v>
      </c>
      <c r="F37" s="518"/>
      <c r="G37" s="513"/>
    </row>
    <row r="38" spans="1:7" ht="26.25" customHeight="1">
      <c r="A38" s="350" t="s">
        <v>126</v>
      </c>
      <c r="B38" s="245" t="s">
        <v>810</v>
      </c>
      <c r="C38" s="245" t="s">
        <v>59</v>
      </c>
      <c r="D38" s="245"/>
      <c r="E38" s="351">
        <v>1</v>
      </c>
      <c r="F38" s="510"/>
      <c r="G38" s="511"/>
    </row>
    <row r="39" spans="1:7" ht="21.75" customHeight="1">
      <c r="A39" s="104"/>
      <c r="B39" s="91" t="s">
        <v>154</v>
      </c>
      <c r="C39" s="91" t="s">
        <v>44</v>
      </c>
      <c r="D39" s="91">
        <f>1.15*3.6</f>
        <v>4.14</v>
      </c>
      <c r="E39" s="86">
        <f>D39*E38</f>
        <v>4.14</v>
      </c>
      <c r="F39" s="519"/>
      <c r="G39" s="513"/>
    </row>
    <row r="40" spans="1:7" ht="24.75" customHeight="1">
      <c r="A40" s="104"/>
      <c r="B40" s="91" t="s">
        <v>96</v>
      </c>
      <c r="C40" s="91" t="s">
        <v>54</v>
      </c>
      <c r="D40" s="91">
        <f>1.15*0.92</f>
        <v>1.058</v>
      </c>
      <c r="E40" s="86">
        <f>D40*E38</f>
        <v>1.058</v>
      </c>
      <c r="F40" s="518"/>
      <c r="G40" s="513"/>
    </row>
    <row r="41" spans="1:7" ht="25.5" customHeight="1">
      <c r="A41" s="104"/>
      <c r="B41" s="91" t="s">
        <v>98</v>
      </c>
      <c r="C41" s="91" t="s">
        <v>52</v>
      </c>
      <c r="D41" s="91">
        <v>0.11</v>
      </c>
      <c r="E41" s="86">
        <f>D41*E38</f>
        <v>0.11</v>
      </c>
      <c r="F41" s="518"/>
      <c r="G41" s="513"/>
    </row>
    <row r="42" spans="1:7" ht="27.75" customHeight="1">
      <c r="A42" s="104"/>
      <c r="B42" s="91" t="s">
        <v>155</v>
      </c>
      <c r="C42" s="91" t="s">
        <v>53</v>
      </c>
      <c r="D42" s="86">
        <f>0.92/(0.39*0.19*0.188)</f>
        <v>66.04071553679617</v>
      </c>
      <c r="E42" s="86">
        <f>D42*E38</f>
        <v>66.04071553679617</v>
      </c>
      <c r="F42" s="515"/>
      <c r="G42" s="513"/>
    </row>
    <row r="43" spans="1:7" ht="27.75" customHeight="1">
      <c r="A43" s="104"/>
      <c r="B43" s="91" t="s">
        <v>56</v>
      </c>
      <c r="C43" s="91" t="s">
        <v>54</v>
      </c>
      <c r="D43" s="91">
        <v>0.16</v>
      </c>
      <c r="E43" s="86">
        <f>D43*E38</f>
        <v>0.16</v>
      </c>
      <c r="F43" s="518"/>
      <c r="G43" s="513"/>
    </row>
    <row r="44" spans="1:7" ht="45.75" customHeight="1">
      <c r="A44" s="234">
        <v>9</v>
      </c>
      <c r="B44" s="133" t="s">
        <v>842</v>
      </c>
      <c r="C44" s="133" t="s">
        <v>74</v>
      </c>
      <c r="D44" s="133"/>
      <c r="E44" s="243">
        <v>2.96</v>
      </c>
      <c r="F44" s="510"/>
      <c r="G44" s="511"/>
    </row>
    <row r="45" spans="1:7" ht="29.25" customHeight="1">
      <c r="A45" s="104"/>
      <c r="B45" s="91" t="s">
        <v>84</v>
      </c>
      <c r="C45" s="91" t="s">
        <v>74</v>
      </c>
      <c r="D45" s="91">
        <v>1</v>
      </c>
      <c r="E45" s="86">
        <f>E44*D45</f>
        <v>2.96</v>
      </c>
      <c r="F45" s="518"/>
      <c r="G45" s="513"/>
    </row>
    <row r="46" spans="1:7" ht="30.75" customHeight="1">
      <c r="A46" s="234">
        <v>10</v>
      </c>
      <c r="B46" s="133" t="s">
        <v>807</v>
      </c>
      <c r="C46" s="133" t="s">
        <v>74</v>
      </c>
      <c r="D46" s="133"/>
      <c r="E46" s="243">
        <v>6.08</v>
      </c>
      <c r="F46" s="510"/>
      <c r="G46" s="511"/>
    </row>
    <row r="47" spans="1:7" ht="20.25" customHeight="1">
      <c r="A47" s="104"/>
      <c r="B47" s="91" t="s">
        <v>84</v>
      </c>
      <c r="C47" s="91" t="s">
        <v>74</v>
      </c>
      <c r="D47" s="91">
        <v>1</v>
      </c>
      <c r="E47" s="86">
        <f>E46*D47</f>
        <v>6.08</v>
      </c>
      <c r="F47" s="518"/>
      <c r="G47" s="513"/>
    </row>
    <row r="48" spans="1:7" ht="51.75" customHeight="1">
      <c r="A48" s="198" t="s">
        <v>152</v>
      </c>
      <c r="B48" s="133" t="s">
        <v>808</v>
      </c>
      <c r="C48" s="133" t="s">
        <v>74</v>
      </c>
      <c r="D48" s="133"/>
      <c r="E48" s="242">
        <v>14.6</v>
      </c>
      <c r="F48" s="510"/>
      <c r="G48" s="511"/>
    </row>
    <row r="49" spans="1:7" ht="24.75" customHeight="1">
      <c r="A49" s="181"/>
      <c r="B49" s="91" t="s">
        <v>176</v>
      </c>
      <c r="C49" s="91" t="s">
        <v>44</v>
      </c>
      <c r="D49" s="91">
        <f>1.15*0.388</f>
        <v>0.4462</v>
      </c>
      <c r="E49" s="86">
        <f>D49*E48</f>
        <v>6.514519999999999</v>
      </c>
      <c r="F49" s="518"/>
      <c r="G49" s="513"/>
    </row>
    <row r="50" spans="1:7" ht="22.5" customHeight="1">
      <c r="A50" s="181"/>
      <c r="B50" s="91" t="s">
        <v>127</v>
      </c>
      <c r="C50" s="91" t="s">
        <v>54</v>
      </c>
      <c r="D50" s="91">
        <f>1.15*0.0003</f>
        <v>0.00034499999999999993</v>
      </c>
      <c r="E50" s="86">
        <f>D50*E48</f>
        <v>0.005036999999999999</v>
      </c>
      <c r="F50" s="518"/>
      <c r="G50" s="513"/>
    </row>
    <row r="51" spans="1:7" ht="13.5">
      <c r="A51" s="181"/>
      <c r="B51" s="91" t="s">
        <v>767</v>
      </c>
      <c r="C51" s="91" t="s">
        <v>94</v>
      </c>
      <c r="D51" s="91">
        <v>0.24600000000000002</v>
      </c>
      <c r="E51" s="86">
        <f>D51*E48</f>
        <v>3.5916</v>
      </c>
      <c r="F51" s="518"/>
      <c r="G51" s="513"/>
    </row>
    <row r="52" spans="1:7" ht="13.5">
      <c r="A52" s="181"/>
      <c r="B52" s="91" t="s">
        <v>129</v>
      </c>
      <c r="C52" s="91" t="s">
        <v>94</v>
      </c>
      <c r="D52" s="91">
        <v>0.027000000000000003</v>
      </c>
      <c r="E52" s="86">
        <f>D52*E48</f>
        <v>0.39420000000000005</v>
      </c>
      <c r="F52" s="518"/>
      <c r="G52" s="513"/>
    </row>
    <row r="53" spans="1:7" ht="19.5" customHeight="1">
      <c r="A53" s="181"/>
      <c r="B53" s="91" t="s">
        <v>56</v>
      </c>
      <c r="C53" s="91" t="s">
        <v>54</v>
      </c>
      <c r="D53" s="91">
        <v>0.0019</v>
      </c>
      <c r="E53" s="86">
        <f>D53*E48</f>
        <v>0.02774</v>
      </c>
      <c r="F53" s="518"/>
      <c r="G53" s="513"/>
    </row>
    <row r="54" spans="1:7" ht="54">
      <c r="A54" s="399">
        <v>12</v>
      </c>
      <c r="B54" s="245" t="s">
        <v>765</v>
      </c>
      <c r="C54" s="245" t="s">
        <v>74</v>
      </c>
      <c r="D54" s="245"/>
      <c r="E54" s="351">
        <v>127.4</v>
      </c>
      <c r="F54" s="510"/>
      <c r="G54" s="507"/>
    </row>
    <row r="55" spans="1:7" ht="27">
      <c r="A55" s="239"/>
      <c r="B55" s="190" t="s">
        <v>167</v>
      </c>
      <c r="C55" s="190" t="s">
        <v>44</v>
      </c>
      <c r="D55" s="190">
        <f>1.15*(210+2*18.3)/100</f>
        <v>2.8358999999999996</v>
      </c>
      <c r="E55" s="343">
        <f>D55*E54</f>
        <v>361.29366</v>
      </c>
      <c r="F55" s="518"/>
      <c r="G55" s="509"/>
    </row>
    <row r="56" spans="1:7" ht="13.5">
      <c r="A56" s="239"/>
      <c r="B56" s="190" t="s">
        <v>168</v>
      </c>
      <c r="C56" s="190" t="s">
        <v>54</v>
      </c>
      <c r="D56" s="190">
        <f>1.15*(2.32+2*0.2)/100</f>
        <v>0.031279999999999995</v>
      </c>
      <c r="E56" s="343">
        <f>D56*E54</f>
        <v>3.9850719999999997</v>
      </c>
      <c r="F56" s="518"/>
      <c r="G56" s="509"/>
    </row>
    <row r="57" spans="1:7" ht="36.75" customHeight="1">
      <c r="A57" s="239"/>
      <c r="B57" s="190" t="s">
        <v>169</v>
      </c>
      <c r="C57" s="190" t="s">
        <v>52</v>
      </c>
      <c r="D57" s="190">
        <f>(2.04+2*0.51)/100</f>
        <v>0.030600000000000002</v>
      </c>
      <c r="E57" s="343">
        <f>D57*E54</f>
        <v>3.8984400000000003</v>
      </c>
      <c r="F57" s="518"/>
      <c r="G57" s="509"/>
    </row>
    <row r="58" spans="1:7" ht="13.5">
      <c r="A58" s="239"/>
      <c r="B58" s="190" t="s">
        <v>102</v>
      </c>
      <c r="C58" s="190" t="s">
        <v>52</v>
      </c>
      <c r="D58" s="190">
        <v>0.0016</v>
      </c>
      <c r="E58" s="343">
        <f>D58*E54</f>
        <v>0.20384000000000002</v>
      </c>
      <c r="F58" s="518"/>
      <c r="G58" s="509"/>
    </row>
    <row r="59" spans="1:7" ht="13.5">
      <c r="A59" s="239"/>
      <c r="B59" s="190" t="s">
        <v>110</v>
      </c>
      <c r="C59" s="190" t="s">
        <v>72</v>
      </c>
      <c r="D59" s="190">
        <v>0.018600000000000002</v>
      </c>
      <c r="E59" s="343">
        <f>E54*D59</f>
        <v>2.3696400000000004</v>
      </c>
      <c r="F59" s="515"/>
      <c r="G59" s="509"/>
    </row>
    <row r="60" spans="1:7" ht="13.5">
      <c r="A60" s="239"/>
      <c r="B60" s="190" t="s">
        <v>111</v>
      </c>
      <c r="C60" s="190" t="s">
        <v>72</v>
      </c>
      <c r="D60" s="190">
        <v>0.0005</v>
      </c>
      <c r="E60" s="343">
        <f>E54*D60</f>
        <v>0.0637</v>
      </c>
      <c r="F60" s="518"/>
      <c r="G60" s="509"/>
    </row>
    <row r="61" spans="1:7" ht="13.5">
      <c r="A61" s="239"/>
      <c r="B61" s="190" t="s">
        <v>56</v>
      </c>
      <c r="C61" s="190" t="s">
        <v>54</v>
      </c>
      <c r="D61" s="190">
        <v>0.203</v>
      </c>
      <c r="E61" s="343">
        <f>E54*D61</f>
        <v>25.8622</v>
      </c>
      <c r="F61" s="518"/>
      <c r="G61" s="509"/>
    </row>
    <row r="62" spans="1:7" ht="48" customHeight="1">
      <c r="A62" s="234">
        <v>13</v>
      </c>
      <c r="B62" s="133" t="s">
        <v>694</v>
      </c>
      <c r="C62" s="199" t="s">
        <v>61</v>
      </c>
      <c r="D62" s="199"/>
      <c r="E62" s="403">
        <v>22</v>
      </c>
      <c r="F62" s="506"/>
      <c r="G62" s="507"/>
    </row>
    <row r="63" spans="1:7" ht="27">
      <c r="A63" s="181"/>
      <c r="B63" s="91" t="s">
        <v>695</v>
      </c>
      <c r="C63" s="113" t="s">
        <v>44</v>
      </c>
      <c r="D63" s="113">
        <f>1.15*(210+2*18.3)/100*0.08</f>
        <v>0.22687199999999996</v>
      </c>
      <c r="E63" s="122">
        <f>D63*E62</f>
        <v>4.991183999999999</v>
      </c>
      <c r="F63" s="519"/>
      <c r="G63" s="509"/>
    </row>
    <row r="64" spans="1:7" ht="13.5">
      <c r="A64" s="181"/>
      <c r="B64" s="91" t="s">
        <v>696</v>
      </c>
      <c r="C64" s="113" t="s">
        <v>54</v>
      </c>
      <c r="D64" s="113">
        <f>1.15*(2.32+2*0.2)/100*0.08</f>
        <v>0.0025023999999999997</v>
      </c>
      <c r="E64" s="122">
        <f>D64*E62</f>
        <v>0.05505279999999999</v>
      </c>
      <c r="F64" s="519"/>
      <c r="G64" s="509"/>
    </row>
    <row r="65" spans="1:7" ht="30.75" customHeight="1">
      <c r="A65" s="181"/>
      <c r="B65" s="91" t="s">
        <v>697</v>
      </c>
      <c r="C65" s="113" t="s">
        <v>52</v>
      </c>
      <c r="D65" s="113">
        <f>(2.04+2*0.51)/100*0.08</f>
        <v>0.002448</v>
      </c>
      <c r="E65" s="122">
        <f>D65*E62</f>
        <v>0.053856</v>
      </c>
      <c r="F65" s="519"/>
      <c r="G65" s="509"/>
    </row>
    <row r="66" spans="1:7" ht="22.5" customHeight="1">
      <c r="A66" s="181"/>
      <c r="B66" s="91" t="s">
        <v>102</v>
      </c>
      <c r="C66" s="113" t="s">
        <v>52</v>
      </c>
      <c r="D66" s="113">
        <f>0.0016*0.08</f>
        <v>0.00012800000000000002</v>
      </c>
      <c r="E66" s="122">
        <f>D66*E62</f>
        <v>0.0028160000000000004</v>
      </c>
      <c r="F66" s="519"/>
      <c r="G66" s="509"/>
    </row>
    <row r="67" spans="1:7" ht="23.25" customHeight="1">
      <c r="A67" s="181"/>
      <c r="B67" s="91" t="s">
        <v>698</v>
      </c>
      <c r="C67" s="113" t="s">
        <v>72</v>
      </c>
      <c r="D67" s="113">
        <f>0.0186*0.08</f>
        <v>0.001488</v>
      </c>
      <c r="E67" s="122">
        <f>E62*D67</f>
        <v>0.032736</v>
      </c>
      <c r="F67" s="523"/>
      <c r="G67" s="509"/>
    </row>
    <row r="68" spans="1:7" ht="19.5" customHeight="1">
      <c r="A68" s="181"/>
      <c r="B68" s="91" t="s">
        <v>699</v>
      </c>
      <c r="C68" s="113" t="s">
        <v>72</v>
      </c>
      <c r="D68" s="113">
        <f>0.0005*0.08</f>
        <v>4E-05</v>
      </c>
      <c r="E68" s="122">
        <f>E62*D68</f>
        <v>0.00088</v>
      </c>
      <c r="F68" s="519"/>
      <c r="G68" s="509"/>
    </row>
    <row r="69" spans="1:7" ht="24" customHeight="1">
      <c r="A69" s="181"/>
      <c r="B69" s="91" t="s">
        <v>700</v>
      </c>
      <c r="C69" s="113" t="s">
        <v>54</v>
      </c>
      <c r="D69" s="113">
        <f>0.203*0.08</f>
        <v>0.01624</v>
      </c>
      <c r="E69" s="122">
        <f>E62*D69</f>
        <v>0.35728000000000004</v>
      </c>
      <c r="F69" s="519"/>
      <c r="G69" s="509"/>
    </row>
    <row r="70" spans="1:7" ht="45.75" customHeight="1">
      <c r="A70" s="234">
        <v>14</v>
      </c>
      <c r="B70" s="133" t="s">
        <v>854</v>
      </c>
      <c r="C70" s="133" t="s">
        <v>80</v>
      </c>
      <c r="D70" s="133"/>
      <c r="E70" s="242">
        <v>120</v>
      </c>
      <c r="F70" s="510"/>
      <c r="G70" s="530"/>
    </row>
    <row r="71" spans="1:7" ht="22.5" customHeight="1">
      <c r="A71" s="181"/>
      <c r="B71" s="91" t="s">
        <v>58</v>
      </c>
      <c r="C71" s="91" t="s">
        <v>44</v>
      </c>
      <c r="D71" s="91">
        <v>0.93</v>
      </c>
      <c r="E71" s="86">
        <f>D71*E70</f>
        <v>111.60000000000001</v>
      </c>
      <c r="F71" s="518"/>
      <c r="G71" s="531"/>
    </row>
    <row r="72" spans="1:7" ht="24.75" customHeight="1">
      <c r="A72" s="181"/>
      <c r="B72" s="91" t="s">
        <v>478</v>
      </c>
      <c r="C72" s="87" t="s">
        <v>62</v>
      </c>
      <c r="D72" s="91">
        <v>0.024</v>
      </c>
      <c r="E72" s="86">
        <f>D72*E70</f>
        <v>2.88</v>
      </c>
      <c r="F72" s="518"/>
      <c r="G72" s="531"/>
    </row>
    <row r="73" spans="1:7" ht="21.75" customHeight="1">
      <c r="A73" s="181"/>
      <c r="B73" s="91" t="s">
        <v>479</v>
      </c>
      <c r="C73" s="91" t="s">
        <v>54</v>
      </c>
      <c r="D73" s="91">
        <v>0.026000000000000002</v>
      </c>
      <c r="E73" s="86">
        <f>D73*E70</f>
        <v>3.12</v>
      </c>
      <c r="F73" s="518"/>
      <c r="G73" s="531"/>
    </row>
    <row r="74" spans="1:7" ht="18.75" customHeight="1">
      <c r="A74" s="181"/>
      <c r="B74" s="91" t="s">
        <v>480</v>
      </c>
      <c r="C74" s="91" t="s">
        <v>52</v>
      </c>
      <c r="D74" s="91">
        <v>0.0255</v>
      </c>
      <c r="E74" s="114">
        <f>D74*E70</f>
        <v>3.0599999999999996</v>
      </c>
      <c r="F74" s="518"/>
      <c r="G74" s="531"/>
    </row>
    <row r="75" spans="1:7" ht="53.25" customHeight="1">
      <c r="A75" s="198" t="s">
        <v>97</v>
      </c>
      <c r="B75" s="133" t="s">
        <v>809</v>
      </c>
      <c r="C75" s="133" t="s">
        <v>74</v>
      </c>
      <c r="D75" s="133"/>
      <c r="E75" s="356">
        <v>550</v>
      </c>
      <c r="F75" s="510"/>
      <c r="G75" s="511"/>
    </row>
    <row r="76" spans="1:7" ht="29.25" customHeight="1">
      <c r="A76" s="181"/>
      <c r="B76" s="87" t="s">
        <v>856</v>
      </c>
      <c r="C76" s="91" t="s">
        <v>44</v>
      </c>
      <c r="D76" s="91">
        <f>1.15*(65.8+85.6)/2/100*70%+1.15*(11.5+15.8)/2/100</f>
        <v>0.7663599999999998</v>
      </c>
      <c r="E76" s="103">
        <f>D76*E75</f>
        <v>421.4979999999999</v>
      </c>
      <c r="F76" s="518"/>
      <c r="G76" s="513"/>
    </row>
    <row r="77" spans="1:7" ht="22.5" customHeight="1">
      <c r="A77" s="181"/>
      <c r="B77" s="91" t="s">
        <v>305</v>
      </c>
      <c r="C77" s="91" t="s">
        <v>54</v>
      </c>
      <c r="D77" s="91">
        <f>1.15*(1+1.2)/2/100*70%+1.15*0.02/100</f>
        <v>0.009085</v>
      </c>
      <c r="E77" s="103">
        <f>D77*E75</f>
        <v>4.99675</v>
      </c>
      <c r="F77" s="518"/>
      <c r="G77" s="513"/>
    </row>
    <row r="78" spans="1:7" ht="16.5" customHeight="1">
      <c r="A78" s="181"/>
      <c r="B78" s="91" t="s">
        <v>179</v>
      </c>
      <c r="C78" s="91" t="s">
        <v>94</v>
      </c>
      <c r="D78" s="91">
        <f>(79+29+92+32)/2/100</f>
        <v>1.16</v>
      </c>
      <c r="E78" s="246">
        <f>E75*D78</f>
        <v>638</v>
      </c>
      <c r="F78" s="518"/>
      <c r="G78" s="513"/>
    </row>
    <row r="79" spans="1:7" ht="27">
      <c r="A79" s="181"/>
      <c r="B79" s="91" t="s">
        <v>306</v>
      </c>
      <c r="C79" s="91" t="s">
        <v>54</v>
      </c>
      <c r="D79" s="91">
        <f>(1.6+1.8)/2/100*70%+0.42/100</f>
        <v>0.0161</v>
      </c>
      <c r="E79" s="103">
        <f>D79*E75</f>
        <v>8.855</v>
      </c>
      <c r="F79" s="518"/>
      <c r="G79" s="513"/>
    </row>
    <row r="80" spans="1:7" ht="54">
      <c r="A80" s="198" t="s">
        <v>91</v>
      </c>
      <c r="B80" s="133" t="s">
        <v>855</v>
      </c>
      <c r="C80" s="133" t="s">
        <v>74</v>
      </c>
      <c r="D80" s="133"/>
      <c r="E80" s="356">
        <v>550</v>
      </c>
      <c r="F80" s="510"/>
      <c r="G80" s="511"/>
    </row>
    <row r="81" spans="1:7" ht="27">
      <c r="A81" s="181"/>
      <c r="B81" s="91" t="s">
        <v>301</v>
      </c>
      <c r="C81" s="91" t="s">
        <v>44</v>
      </c>
      <c r="D81" s="91">
        <f>1.15*(65.8+85.6)/2/100*30%</f>
        <v>0.2611649999999999</v>
      </c>
      <c r="E81" s="103">
        <f>D81*E80</f>
        <v>143.64074999999997</v>
      </c>
      <c r="F81" s="518"/>
      <c r="G81" s="513"/>
    </row>
    <row r="82" spans="1:7" ht="20.25" customHeight="1">
      <c r="A82" s="181"/>
      <c r="B82" s="91" t="s">
        <v>302</v>
      </c>
      <c r="C82" s="91" t="s">
        <v>54</v>
      </c>
      <c r="D82" s="91">
        <f>1.15*(1+1.2)/2/100*30%</f>
        <v>0.0037949999999999998</v>
      </c>
      <c r="E82" s="103">
        <f>D82*E80</f>
        <v>2.08725</v>
      </c>
      <c r="F82" s="518"/>
      <c r="G82" s="513"/>
    </row>
    <row r="83" spans="1:7" ht="19.5" customHeight="1">
      <c r="A83" s="181"/>
      <c r="B83" s="91" t="s">
        <v>178</v>
      </c>
      <c r="C83" s="91" t="s">
        <v>94</v>
      </c>
      <c r="D83" s="91">
        <v>0.63</v>
      </c>
      <c r="E83" s="103">
        <f>D83*E80</f>
        <v>346.5</v>
      </c>
      <c r="F83" s="518"/>
      <c r="G83" s="513"/>
    </row>
    <row r="84" spans="1:7" ht="23.25" customHeight="1">
      <c r="A84" s="181"/>
      <c r="B84" s="91" t="s">
        <v>303</v>
      </c>
      <c r="C84" s="91" t="s">
        <v>54</v>
      </c>
      <c r="D84" s="91">
        <f>(1.6+1.8)/2/100*30%</f>
        <v>0.0051</v>
      </c>
      <c r="E84" s="103">
        <f>D84*E80</f>
        <v>2.805</v>
      </c>
      <c r="F84" s="518"/>
      <c r="G84" s="513"/>
    </row>
    <row r="85" spans="1:7" ht="46.5" customHeight="1">
      <c r="A85" s="234">
        <v>17</v>
      </c>
      <c r="B85" s="133" t="s">
        <v>709</v>
      </c>
      <c r="C85" s="359" t="s">
        <v>180</v>
      </c>
      <c r="D85" s="133"/>
      <c r="E85" s="243">
        <v>7</v>
      </c>
      <c r="F85" s="510"/>
      <c r="G85" s="511"/>
    </row>
    <row r="86" spans="1:7" ht="26.25" customHeight="1">
      <c r="A86" s="181"/>
      <c r="B86" s="91" t="s">
        <v>184</v>
      </c>
      <c r="C86" s="91" t="s">
        <v>44</v>
      </c>
      <c r="D86" s="91">
        <f>1.15*45.9</f>
        <v>52.785</v>
      </c>
      <c r="E86" s="86">
        <f>D86*E85</f>
        <v>369.495</v>
      </c>
      <c r="F86" s="518"/>
      <c r="G86" s="513"/>
    </row>
    <row r="87" spans="1:7" ht="24.75" customHeight="1">
      <c r="A87" s="181"/>
      <c r="B87" s="91" t="s">
        <v>710</v>
      </c>
      <c r="C87" s="91" t="s">
        <v>54</v>
      </c>
      <c r="D87" s="91">
        <f>1.15*0.23</f>
        <v>0.2645</v>
      </c>
      <c r="E87" s="86">
        <f>D87*E85</f>
        <v>1.8515000000000001</v>
      </c>
      <c r="F87" s="518"/>
      <c r="G87" s="513"/>
    </row>
    <row r="88" spans="1:7" ht="24.75" customHeight="1">
      <c r="A88" s="181"/>
      <c r="B88" s="91" t="s">
        <v>181</v>
      </c>
      <c r="C88" s="91" t="s">
        <v>72</v>
      </c>
      <c r="D88" s="91">
        <v>0.035</v>
      </c>
      <c r="E88" s="86">
        <f>D88*E85</f>
        <v>0.24500000000000002</v>
      </c>
      <c r="F88" s="518"/>
      <c r="G88" s="513"/>
    </row>
    <row r="89" spans="1:7" ht="15.75" customHeight="1">
      <c r="A89" s="181"/>
      <c r="B89" s="91" t="s">
        <v>182</v>
      </c>
      <c r="C89" s="91" t="s">
        <v>52</v>
      </c>
      <c r="D89" s="91">
        <v>0.009</v>
      </c>
      <c r="E89" s="86">
        <f>D89*E85</f>
        <v>0.063</v>
      </c>
      <c r="F89" s="518"/>
      <c r="G89" s="513"/>
    </row>
    <row r="90" spans="1:7" ht="18.75" customHeight="1">
      <c r="A90" s="181"/>
      <c r="B90" s="91" t="s">
        <v>183</v>
      </c>
      <c r="C90" s="91" t="s">
        <v>80</v>
      </c>
      <c r="D90" s="91">
        <v>3.4</v>
      </c>
      <c r="E90" s="86">
        <f>D90*E85</f>
        <v>23.8</v>
      </c>
      <c r="F90" s="518"/>
      <c r="G90" s="513"/>
    </row>
    <row r="91" spans="1:7" ht="26.25" customHeight="1">
      <c r="A91" s="121"/>
      <c r="B91" s="133" t="s">
        <v>185</v>
      </c>
      <c r="C91" s="91" t="s">
        <v>54</v>
      </c>
      <c r="D91" s="91"/>
      <c r="E91" s="86"/>
      <c r="F91" s="516"/>
      <c r="G91" s="507"/>
    </row>
    <row r="92" spans="1:7" ht="25.5" customHeight="1">
      <c r="A92" s="121"/>
      <c r="B92" s="91" t="s">
        <v>43</v>
      </c>
      <c r="C92" s="91" t="s">
        <v>54</v>
      </c>
      <c r="D92" s="91"/>
      <c r="E92" s="130">
        <v>0.1</v>
      </c>
      <c r="F92" s="516"/>
      <c r="G92" s="517"/>
    </row>
    <row r="93" spans="1:7" ht="22.5" customHeight="1">
      <c r="A93" s="234"/>
      <c r="B93" s="133" t="s">
        <v>55</v>
      </c>
      <c r="C93" s="133" t="s">
        <v>54</v>
      </c>
      <c r="D93" s="133"/>
      <c r="E93" s="133"/>
      <c r="F93" s="510"/>
      <c r="G93" s="507"/>
    </row>
    <row r="94" spans="1:7" ht="22.5" customHeight="1">
      <c r="A94" s="121"/>
      <c r="B94" s="91" t="s">
        <v>69</v>
      </c>
      <c r="C94" s="91" t="s">
        <v>54</v>
      </c>
      <c r="D94" s="91"/>
      <c r="E94" s="130">
        <v>0.08</v>
      </c>
      <c r="F94" s="516"/>
      <c r="G94" s="517"/>
    </row>
    <row r="95" spans="1:7" ht="26.25" customHeight="1">
      <c r="A95" s="234"/>
      <c r="B95" s="133" t="s">
        <v>60</v>
      </c>
      <c r="C95" s="133" t="s">
        <v>54</v>
      </c>
      <c r="D95" s="133"/>
      <c r="E95" s="235"/>
      <c r="F95" s="510"/>
      <c r="G95" s="507"/>
    </row>
    <row r="97" spans="2:7" ht="27" customHeight="1">
      <c r="B97" s="495" t="s">
        <v>886</v>
      </c>
      <c r="C97" s="495"/>
      <c r="D97" s="495"/>
      <c r="E97" s="495"/>
      <c r="F97" s="495"/>
      <c r="G97" s="495"/>
    </row>
    <row r="99" spans="2:5" ht="13.5">
      <c r="B99" s="467"/>
      <c r="C99" s="467"/>
      <c r="D99" s="467"/>
      <c r="E99" s="467"/>
    </row>
  </sheetData>
  <sheetProtection password="CF2D" sheet="1"/>
  <mergeCells count="11">
    <mergeCell ref="A1:G1"/>
    <mergeCell ref="A2:G2"/>
    <mergeCell ref="A3:G3"/>
    <mergeCell ref="A4:G4"/>
    <mergeCell ref="B99:E99"/>
    <mergeCell ref="A5:A6"/>
    <mergeCell ref="B5:B6"/>
    <mergeCell ref="C5:C6"/>
    <mergeCell ref="D5:E5"/>
    <mergeCell ref="F5:G5"/>
    <mergeCell ref="B97:G97"/>
  </mergeCells>
  <printOptions/>
  <pageMargins left="0.7" right="0.45" top="0.42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3"/>
  <sheetViews>
    <sheetView zoomScalePageLayoutView="0" workbookViewId="0" topLeftCell="A1">
      <selection activeCell="F8" sqref="F8:G161"/>
    </sheetView>
  </sheetViews>
  <sheetFormatPr defaultColWidth="9.140625" defaultRowHeight="12.75"/>
  <cols>
    <col min="1" max="1" width="5.57421875" style="0" customWidth="1"/>
    <col min="2" max="2" width="33.7109375" style="0" customWidth="1"/>
    <col min="3" max="3" width="7.8515625" style="0" customWidth="1"/>
    <col min="4" max="4" width="8.140625" style="0" customWidth="1"/>
    <col min="6" max="6" width="9.28125" style="0" customWidth="1"/>
    <col min="7" max="7" width="11.28125" style="0" customWidth="1"/>
  </cols>
  <sheetData>
    <row r="1" spans="1:7" ht="48.75" customHeight="1">
      <c r="A1" s="469" t="s">
        <v>824</v>
      </c>
      <c r="B1" s="470"/>
      <c r="C1" s="470"/>
      <c r="D1" s="470"/>
      <c r="E1" s="470"/>
      <c r="F1" s="470"/>
      <c r="G1" s="470"/>
    </row>
    <row r="2" spans="1:7" ht="15">
      <c r="A2" s="471" t="s">
        <v>785</v>
      </c>
      <c r="B2" s="471"/>
      <c r="C2" s="471"/>
      <c r="D2" s="471"/>
      <c r="E2" s="471"/>
      <c r="F2" s="471"/>
      <c r="G2" s="471"/>
    </row>
    <row r="3" spans="1:7" ht="15">
      <c r="A3" s="471" t="s">
        <v>524</v>
      </c>
      <c r="B3" s="471"/>
      <c r="C3" s="471"/>
      <c r="D3" s="471"/>
      <c r="E3" s="471"/>
      <c r="F3" s="471"/>
      <c r="G3" s="471"/>
    </row>
    <row r="4" spans="1:7" ht="15.75" thickBot="1">
      <c r="A4" s="475" t="s">
        <v>57</v>
      </c>
      <c r="B4" s="475"/>
      <c r="C4" s="475"/>
      <c r="D4" s="475"/>
      <c r="E4" s="475"/>
      <c r="F4" s="475"/>
      <c r="G4" s="475"/>
    </row>
    <row r="5" spans="1:7" ht="31.5" customHeight="1">
      <c r="A5" s="476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</row>
    <row r="6" spans="1:7" ht="51.75" customHeight="1">
      <c r="A6" s="477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</row>
    <row r="7" spans="1:7" ht="13.5">
      <c r="A7" s="426" t="s">
        <v>51</v>
      </c>
      <c r="B7" s="247">
        <v>3</v>
      </c>
      <c r="C7" s="247">
        <v>4</v>
      </c>
      <c r="D7" s="247">
        <v>5</v>
      </c>
      <c r="E7" s="247">
        <v>6</v>
      </c>
      <c r="F7" s="247">
        <v>7</v>
      </c>
      <c r="G7" s="346">
        <v>8</v>
      </c>
    </row>
    <row r="8" spans="1:7" ht="42.75" customHeight="1">
      <c r="A8" s="234">
        <v>1</v>
      </c>
      <c r="B8" s="133" t="s">
        <v>139</v>
      </c>
      <c r="C8" s="133" t="s">
        <v>59</v>
      </c>
      <c r="D8" s="358"/>
      <c r="E8" s="242">
        <v>4.5</v>
      </c>
      <c r="F8" s="510"/>
      <c r="G8" s="511"/>
    </row>
    <row r="9" spans="1:7" ht="29.25" customHeight="1">
      <c r="A9" s="181"/>
      <c r="B9" s="91" t="s">
        <v>66</v>
      </c>
      <c r="C9" s="91" t="s">
        <v>44</v>
      </c>
      <c r="D9" s="91">
        <f>1.15*2.06</f>
        <v>2.3689999999999998</v>
      </c>
      <c r="E9" s="86">
        <f>E8*D9</f>
        <v>10.660499999999999</v>
      </c>
      <c r="F9" s="518"/>
      <c r="G9" s="513"/>
    </row>
    <row r="10" spans="1:7" ht="48" customHeight="1">
      <c r="A10" s="198" t="s">
        <v>67</v>
      </c>
      <c r="B10" s="133" t="s">
        <v>634</v>
      </c>
      <c r="C10" s="133" t="s">
        <v>59</v>
      </c>
      <c r="D10" s="133"/>
      <c r="E10" s="243">
        <v>2.5</v>
      </c>
      <c r="F10" s="510"/>
      <c r="G10" s="511"/>
    </row>
    <row r="11" spans="1:7" ht="29.25" customHeight="1">
      <c r="A11" s="181"/>
      <c r="B11" s="91" t="s">
        <v>526</v>
      </c>
      <c r="C11" s="102" t="s">
        <v>44</v>
      </c>
      <c r="D11" s="91">
        <f>1.15*2.86</f>
        <v>3.2889999999999997</v>
      </c>
      <c r="E11" s="86">
        <f>D11*E10</f>
        <v>8.2225</v>
      </c>
      <c r="F11" s="519"/>
      <c r="G11" s="513"/>
    </row>
    <row r="12" spans="1:7" ht="21.75" customHeight="1">
      <c r="A12" s="181"/>
      <c r="B12" s="91" t="s">
        <v>527</v>
      </c>
      <c r="C12" s="91" t="s">
        <v>54</v>
      </c>
      <c r="D12" s="91">
        <f>1.15*0.76</f>
        <v>0.8739999999999999</v>
      </c>
      <c r="E12" s="86">
        <f>E10*D12</f>
        <v>2.1849999999999996</v>
      </c>
      <c r="F12" s="518"/>
      <c r="G12" s="513"/>
    </row>
    <row r="13" spans="1:7" ht="24.75" customHeight="1">
      <c r="A13" s="181"/>
      <c r="B13" s="91" t="s">
        <v>635</v>
      </c>
      <c r="C13" s="91" t="s">
        <v>52</v>
      </c>
      <c r="D13" s="91">
        <v>1.02</v>
      </c>
      <c r="E13" s="86">
        <f>D13*E10</f>
        <v>2.55</v>
      </c>
      <c r="F13" s="515"/>
      <c r="G13" s="513"/>
    </row>
    <row r="14" spans="1:7" ht="24" customHeight="1">
      <c r="A14" s="181"/>
      <c r="B14" s="91" t="s">
        <v>307</v>
      </c>
      <c r="C14" s="91" t="s">
        <v>80</v>
      </c>
      <c r="D14" s="91">
        <v>0.803</v>
      </c>
      <c r="E14" s="86">
        <f>E10*D14</f>
        <v>2.0075000000000003</v>
      </c>
      <c r="F14" s="518"/>
      <c r="G14" s="513"/>
    </row>
    <row r="15" spans="1:7" ht="24.75" customHeight="1">
      <c r="A15" s="181"/>
      <c r="B15" s="91" t="s">
        <v>345</v>
      </c>
      <c r="C15" s="91" t="s">
        <v>52</v>
      </c>
      <c r="D15" s="91">
        <v>0.0039</v>
      </c>
      <c r="E15" s="86">
        <f>E10*D15</f>
        <v>0.00975</v>
      </c>
      <c r="F15" s="518"/>
      <c r="G15" s="513"/>
    </row>
    <row r="16" spans="1:7" ht="21" customHeight="1">
      <c r="A16" s="181"/>
      <c r="B16" s="102" t="s">
        <v>63</v>
      </c>
      <c r="C16" s="91" t="s">
        <v>54</v>
      </c>
      <c r="D16" s="91">
        <v>0.13</v>
      </c>
      <c r="E16" s="86">
        <f>D16*E10</f>
        <v>0.325</v>
      </c>
      <c r="F16" s="518"/>
      <c r="G16" s="513"/>
    </row>
    <row r="17" spans="1:7" ht="57" customHeight="1">
      <c r="A17" s="198" t="s">
        <v>112</v>
      </c>
      <c r="B17" s="133" t="s">
        <v>528</v>
      </c>
      <c r="C17" s="133" t="s">
        <v>59</v>
      </c>
      <c r="D17" s="358"/>
      <c r="E17" s="242">
        <f>E8</f>
        <v>4.5</v>
      </c>
      <c r="F17" s="510"/>
      <c r="G17" s="511"/>
    </row>
    <row r="18" spans="1:7" ht="30.75" customHeight="1">
      <c r="A18" s="181"/>
      <c r="B18" s="91" t="s">
        <v>86</v>
      </c>
      <c r="C18" s="91" t="s">
        <v>44</v>
      </c>
      <c r="D18" s="91">
        <f>1.15*1.21</f>
        <v>1.3915</v>
      </c>
      <c r="E18" s="86">
        <f>E17*D18</f>
        <v>6.26175</v>
      </c>
      <c r="F18" s="518"/>
      <c r="G18" s="513"/>
    </row>
    <row r="19" spans="1:7" ht="48.75" customHeight="1">
      <c r="A19" s="198" t="s">
        <v>113</v>
      </c>
      <c r="B19" s="133" t="s">
        <v>636</v>
      </c>
      <c r="C19" s="133" t="s">
        <v>59</v>
      </c>
      <c r="D19" s="133"/>
      <c r="E19" s="243">
        <v>0.55</v>
      </c>
      <c r="F19" s="510"/>
      <c r="G19" s="507"/>
    </row>
    <row r="20" spans="1:7" ht="24" customHeight="1">
      <c r="A20" s="181"/>
      <c r="B20" s="102" t="s">
        <v>329</v>
      </c>
      <c r="C20" s="102" t="s">
        <v>44</v>
      </c>
      <c r="D20" s="91">
        <f>1.15*13.3</f>
        <v>15.295</v>
      </c>
      <c r="E20" s="116">
        <f>D20*E19</f>
        <v>8.41225</v>
      </c>
      <c r="F20" s="518"/>
      <c r="G20" s="509"/>
    </row>
    <row r="21" spans="1:7" ht="27.75" customHeight="1">
      <c r="A21" s="181"/>
      <c r="B21" s="91" t="s">
        <v>330</v>
      </c>
      <c r="C21" s="91" t="s">
        <v>54</v>
      </c>
      <c r="D21" s="91">
        <f>1.15*3.36</f>
        <v>3.8639999999999994</v>
      </c>
      <c r="E21" s="86">
        <f>D21*E19</f>
        <v>2.1252</v>
      </c>
      <c r="F21" s="518"/>
      <c r="G21" s="509"/>
    </row>
    <row r="22" spans="1:7" ht="24.75" customHeight="1">
      <c r="A22" s="181"/>
      <c r="B22" s="91" t="s">
        <v>637</v>
      </c>
      <c r="C22" s="91" t="s">
        <v>52</v>
      </c>
      <c r="D22" s="91">
        <v>1.015</v>
      </c>
      <c r="E22" s="86">
        <f>D22*E19</f>
        <v>0.55825</v>
      </c>
      <c r="F22" s="518"/>
      <c r="G22" s="513"/>
    </row>
    <row r="23" spans="1:7" ht="28.5" customHeight="1">
      <c r="A23" s="181"/>
      <c r="B23" s="91" t="s">
        <v>529</v>
      </c>
      <c r="C23" s="91" t="s">
        <v>80</v>
      </c>
      <c r="D23" s="91">
        <v>2.42</v>
      </c>
      <c r="E23" s="86">
        <f>D23*E19</f>
        <v>1.331</v>
      </c>
      <c r="F23" s="518"/>
      <c r="G23" s="509"/>
    </row>
    <row r="24" spans="1:7" ht="27" customHeight="1">
      <c r="A24" s="181"/>
      <c r="B24" s="91" t="s">
        <v>348</v>
      </c>
      <c r="C24" s="91" t="s">
        <v>52</v>
      </c>
      <c r="D24" s="91">
        <f>0.0581+0.0067</f>
        <v>0.0648</v>
      </c>
      <c r="E24" s="86">
        <f>D24*E19</f>
        <v>0.03564</v>
      </c>
      <c r="F24" s="518"/>
      <c r="G24" s="509"/>
    </row>
    <row r="25" spans="1:7" ht="22.5" customHeight="1">
      <c r="A25" s="181"/>
      <c r="B25" s="91" t="s">
        <v>276</v>
      </c>
      <c r="C25" s="91" t="s">
        <v>78</v>
      </c>
      <c r="D25" s="91">
        <v>0.0015</v>
      </c>
      <c r="E25" s="112">
        <f>E19*D25</f>
        <v>0.0008250000000000001</v>
      </c>
      <c r="F25" s="518"/>
      <c r="G25" s="509"/>
    </row>
    <row r="26" spans="1:7" ht="21" customHeight="1">
      <c r="A26" s="181"/>
      <c r="B26" s="91" t="s">
        <v>56</v>
      </c>
      <c r="C26" s="91" t="s">
        <v>54</v>
      </c>
      <c r="D26" s="91">
        <v>0.6</v>
      </c>
      <c r="E26" s="86">
        <f>D26*E19</f>
        <v>0.33</v>
      </c>
      <c r="F26" s="518"/>
      <c r="G26" s="509"/>
    </row>
    <row r="27" spans="1:11" ht="31.5" customHeight="1">
      <c r="A27" s="234">
        <v>5</v>
      </c>
      <c r="B27" s="133" t="s">
        <v>277</v>
      </c>
      <c r="C27" s="133" t="s">
        <v>78</v>
      </c>
      <c r="D27" s="133"/>
      <c r="E27" s="422">
        <v>0.045</v>
      </c>
      <c r="F27" s="510"/>
      <c r="G27" s="511"/>
      <c r="K27" t="s">
        <v>885</v>
      </c>
    </row>
    <row r="28" spans="1:7" ht="27" customHeight="1">
      <c r="A28" s="104"/>
      <c r="B28" s="91" t="s">
        <v>88</v>
      </c>
      <c r="C28" s="91" t="s">
        <v>78</v>
      </c>
      <c r="D28" s="91">
        <v>1.01</v>
      </c>
      <c r="E28" s="114">
        <f>E27*D28</f>
        <v>0.04545</v>
      </c>
      <c r="F28" s="518"/>
      <c r="G28" s="513"/>
    </row>
    <row r="29" spans="1:7" ht="23.25" customHeight="1">
      <c r="A29" s="104"/>
      <c r="B29" s="91" t="s">
        <v>278</v>
      </c>
      <c r="C29" s="91" t="s">
        <v>53</v>
      </c>
      <c r="D29" s="91">
        <v>3</v>
      </c>
      <c r="E29" s="114">
        <f>E27*D29</f>
        <v>0.135</v>
      </c>
      <c r="F29" s="518"/>
      <c r="G29" s="513"/>
    </row>
    <row r="30" spans="1:7" ht="21" customHeight="1">
      <c r="A30" s="104"/>
      <c r="B30" s="91" t="s">
        <v>89</v>
      </c>
      <c r="C30" s="91" t="s">
        <v>53</v>
      </c>
      <c r="D30" s="91">
        <v>4</v>
      </c>
      <c r="E30" s="114">
        <f>E27*D30</f>
        <v>0.18</v>
      </c>
      <c r="F30" s="518"/>
      <c r="G30" s="513"/>
    </row>
    <row r="31" spans="1:7" ht="54.75" customHeight="1">
      <c r="A31" s="234">
        <v>6</v>
      </c>
      <c r="B31" s="133" t="s">
        <v>624</v>
      </c>
      <c r="C31" s="133" t="s">
        <v>80</v>
      </c>
      <c r="D31" s="133"/>
      <c r="E31" s="242">
        <v>3.8</v>
      </c>
      <c r="F31" s="510"/>
      <c r="G31" s="527"/>
    </row>
    <row r="32" spans="1:7" ht="27.75" customHeight="1">
      <c r="A32" s="104"/>
      <c r="B32" s="91" t="s">
        <v>530</v>
      </c>
      <c r="C32" s="102" t="s">
        <v>44</v>
      </c>
      <c r="D32" s="91">
        <f>1.15*0.381</f>
        <v>0.43815</v>
      </c>
      <c r="E32" s="86">
        <f>D32*E31</f>
        <v>1.6649699999999998</v>
      </c>
      <c r="F32" s="519"/>
      <c r="G32" s="522"/>
    </row>
    <row r="33" spans="1:7" ht="24" customHeight="1">
      <c r="A33" s="104"/>
      <c r="B33" s="91" t="s">
        <v>531</v>
      </c>
      <c r="C33" s="91" t="s">
        <v>54</v>
      </c>
      <c r="D33" s="91">
        <v>0.016</v>
      </c>
      <c r="E33" s="86">
        <f>E31*D33</f>
        <v>0.0608</v>
      </c>
      <c r="F33" s="518"/>
      <c r="G33" s="522"/>
    </row>
    <row r="34" spans="1:7" ht="22.5" customHeight="1">
      <c r="A34" s="104"/>
      <c r="B34" s="91" t="s">
        <v>532</v>
      </c>
      <c r="C34" s="91" t="s">
        <v>52</v>
      </c>
      <c r="D34" s="91">
        <v>0.031</v>
      </c>
      <c r="E34" s="86">
        <f>D34*E31</f>
        <v>0.11779999999999999</v>
      </c>
      <c r="F34" s="518"/>
      <c r="G34" s="522"/>
    </row>
    <row r="35" spans="1:7" ht="27.75" customHeight="1">
      <c r="A35" s="104"/>
      <c r="B35" s="102" t="s">
        <v>63</v>
      </c>
      <c r="C35" s="91" t="s">
        <v>54</v>
      </c>
      <c r="D35" s="91">
        <v>0.0036</v>
      </c>
      <c r="E35" s="86">
        <f>E31*D35</f>
        <v>0.01368</v>
      </c>
      <c r="F35" s="518"/>
      <c r="G35" s="522"/>
    </row>
    <row r="36" spans="1:7" ht="46.5" customHeight="1">
      <c r="A36" s="198" t="s">
        <v>76</v>
      </c>
      <c r="B36" s="133" t="s">
        <v>533</v>
      </c>
      <c r="C36" s="133" t="s">
        <v>59</v>
      </c>
      <c r="D36" s="133"/>
      <c r="E36" s="242">
        <v>4.65</v>
      </c>
      <c r="F36" s="510"/>
      <c r="G36" s="511"/>
    </row>
    <row r="37" spans="1:7" ht="30.75" customHeight="1">
      <c r="A37" s="104"/>
      <c r="B37" s="91" t="s">
        <v>154</v>
      </c>
      <c r="C37" s="91" t="s">
        <v>44</v>
      </c>
      <c r="D37" s="91">
        <f>1.15*3.6</f>
        <v>4.14</v>
      </c>
      <c r="E37" s="86">
        <f>D37*E36</f>
        <v>19.251</v>
      </c>
      <c r="F37" s="519"/>
      <c r="G37" s="513"/>
    </row>
    <row r="38" spans="1:7" ht="19.5" customHeight="1">
      <c r="A38" s="104"/>
      <c r="B38" s="91" t="s">
        <v>96</v>
      </c>
      <c r="C38" s="91" t="s">
        <v>54</v>
      </c>
      <c r="D38" s="91">
        <f>1.15*0.92</f>
        <v>1.058</v>
      </c>
      <c r="E38" s="86">
        <f>D38*E36</f>
        <v>4.919700000000001</v>
      </c>
      <c r="F38" s="518"/>
      <c r="G38" s="513"/>
    </row>
    <row r="39" spans="1:7" ht="27.75" customHeight="1">
      <c r="A39" s="104"/>
      <c r="B39" s="91" t="s">
        <v>98</v>
      </c>
      <c r="C39" s="91" t="s">
        <v>52</v>
      </c>
      <c r="D39" s="91">
        <v>0.11</v>
      </c>
      <c r="E39" s="86">
        <f>D39*E36</f>
        <v>0.5115000000000001</v>
      </c>
      <c r="F39" s="518"/>
      <c r="G39" s="513"/>
    </row>
    <row r="40" spans="1:7" ht="31.5" customHeight="1">
      <c r="A40" s="104"/>
      <c r="B40" s="91" t="s">
        <v>155</v>
      </c>
      <c r="C40" s="91" t="s">
        <v>53</v>
      </c>
      <c r="D40" s="86">
        <f>0.92/(0.39*0.19*0.188)</f>
        <v>66.04071553679617</v>
      </c>
      <c r="E40" s="86">
        <f>D40*E36</f>
        <v>307.08932724610224</v>
      </c>
      <c r="F40" s="515"/>
      <c r="G40" s="513"/>
    </row>
    <row r="41" spans="1:7" ht="26.25" customHeight="1">
      <c r="A41" s="104"/>
      <c r="B41" s="91" t="s">
        <v>56</v>
      </c>
      <c r="C41" s="91" t="s">
        <v>54</v>
      </c>
      <c r="D41" s="91">
        <v>0.16</v>
      </c>
      <c r="E41" s="86">
        <f>D41*E36</f>
        <v>0.7440000000000001</v>
      </c>
      <c r="F41" s="518"/>
      <c r="G41" s="513"/>
    </row>
    <row r="42" spans="1:7" ht="57.75" customHeight="1">
      <c r="A42" s="234">
        <v>8</v>
      </c>
      <c r="B42" s="133" t="s">
        <v>638</v>
      </c>
      <c r="C42" s="133" t="s">
        <v>59</v>
      </c>
      <c r="D42" s="133"/>
      <c r="E42" s="242">
        <v>0.5</v>
      </c>
      <c r="F42" s="510"/>
      <c r="G42" s="507"/>
    </row>
    <row r="43" spans="1:7" ht="24" customHeight="1">
      <c r="A43" s="104"/>
      <c r="B43" s="91" t="s">
        <v>331</v>
      </c>
      <c r="C43" s="91" t="s">
        <v>44</v>
      </c>
      <c r="D43" s="91">
        <f>1.15*8.54</f>
        <v>9.820999999999998</v>
      </c>
      <c r="E43" s="116">
        <f>D43*E42</f>
        <v>4.910499999999999</v>
      </c>
      <c r="F43" s="518"/>
      <c r="G43" s="509"/>
    </row>
    <row r="44" spans="1:7" ht="19.5" customHeight="1">
      <c r="A44" s="104"/>
      <c r="B44" s="91" t="s">
        <v>332</v>
      </c>
      <c r="C44" s="91" t="s">
        <v>54</v>
      </c>
      <c r="D44" s="91">
        <f>1.15*1.06</f>
        <v>1.2189999999999999</v>
      </c>
      <c r="E44" s="86">
        <f>D44*E42</f>
        <v>0.6094999999999999</v>
      </c>
      <c r="F44" s="518"/>
      <c r="G44" s="509"/>
    </row>
    <row r="45" spans="1:7" ht="19.5" customHeight="1">
      <c r="A45" s="104"/>
      <c r="B45" s="91" t="s">
        <v>431</v>
      </c>
      <c r="C45" s="91" t="s">
        <v>52</v>
      </c>
      <c r="D45" s="91">
        <v>1.015</v>
      </c>
      <c r="E45" s="86">
        <f>D45*E42</f>
        <v>0.5075</v>
      </c>
      <c r="F45" s="515"/>
      <c r="G45" s="513"/>
    </row>
    <row r="46" spans="1:7" ht="21.75" customHeight="1">
      <c r="A46" s="104"/>
      <c r="B46" s="91" t="s">
        <v>534</v>
      </c>
      <c r="C46" s="91" t="s">
        <v>80</v>
      </c>
      <c r="D46" s="91">
        <v>1.4</v>
      </c>
      <c r="E46" s="86">
        <f>D46*E42</f>
        <v>0.7</v>
      </c>
      <c r="F46" s="518"/>
      <c r="G46" s="509"/>
    </row>
    <row r="47" spans="1:7" ht="27" customHeight="1">
      <c r="A47" s="104"/>
      <c r="B47" s="91" t="s">
        <v>535</v>
      </c>
      <c r="C47" s="91" t="s">
        <v>52</v>
      </c>
      <c r="D47" s="91">
        <v>0.0145</v>
      </c>
      <c r="E47" s="86">
        <f>E42*D47</f>
        <v>0.00725</v>
      </c>
      <c r="F47" s="518"/>
      <c r="G47" s="509"/>
    </row>
    <row r="48" spans="1:7" ht="24" customHeight="1">
      <c r="A48" s="104"/>
      <c r="B48" s="91" t="s">
        <v>276</v>
      </c>
      <c r="C48" s="91" t="s">
        <v>78</v>
      </c>
      <c r="D48" s="91">
        <v>0.0025</v>
      </c>
      <c r="E48" s="112">
        <f>E42*D48</f>
        <v>0.00125</v>
      </c>
      <c r="F48" s="518"/>
      <c r="G48" s="509"/>
    </row>
    <row r="49" spans="1:7" ht="21.75" customHeight="1">
      <c r="A49" s="104"/>
      <c r="B49" s="91" t="s">
        <v>56</v>
      </c>
      <c r="C49" s="91" t="s">
        <v>54</v>
      </c>
      <c r="D49" s="91">
        <v>0.74</v>
      </c>
      <c r="E49" s="86">
        <f>D49*E42</f>
        <v>0.37</v>
      </c>
      <c r="F49" s="518"/>
      <c r="G49" s="509"/>
    </row>
    <row r="50" spans="1:7" ht="24.75" customHeight="1">
      <c r="A50" s="234">
        <v>9</v>
      </c>
      <c r="B50" s="133" t="s">
        <v>277</v>
      </c>
      <c r="C50" s="133" t="s">
        <v>78</v>
      </c>
      <c r="D50" s="133"/>
      <c r="E50" s="422">
        <v>0.0608</v>
      </c>
      <c r="F50" s="510"/>
      <c r="G50" s="511"/>
    </row>
    <row r="51" spans="1:7" ht="18.75" customHeight="1">
      <c r="A51" s="104"/>
      <c r="B51" s="91" t="s">
        <v>88</v>
      </c>
      <c r="C51" s="91" t="s">
        <v>78</v>
      </c>
      <c r="D51" s="91">
        <v>1.01</v>
      </c>
      <c r="E51" s="114">
        <f>E50*D51</f>
        <v>0.061408</v>
      </c>
      <c r="F51" s="518"/>
      <c r="G51" s="513"/>
    </row>
    <row r="52" spans="1:7" ht="17.25" customHeight="1">
      <c r="A52" s="104"/>
      <c r="B52" s="91" t="s">
        <v>278</v>
      </c>
      <c r="C52" s="91" t="s">
        <v>53</v>
      </c>
      <c r="D52" s="91">
        <v>3</v>
      </c>
      <c r="E52" s="114">
        <f>E50*D52</f>
        <v>0.1824</v>
      </c>
      <c r="F52" s="518"/>
      <c r="G52" s="513"/>
    </row>
    <row r="53" spans="1:7" ht="18.75" customHeight="1">
      <c r="A53" s="104"/>
      <c r="B53" s="91" t="s">
        <v>89</v>
      </c>
      <c r="C53" s="91" t="s">
        <v>53</v>
      </c>
      <c r="D53" s="91">
        <v>4</v>
      </c>
      <c r="E53" s="114">
        <f>E50*D53</f>
        <v>0.2432</v>
      </c>
      <c r="F53" s="518"/>
      <c r="G53" s="513"/>
    </row>
    <row r="54" spans="1:7" ht="48" customHeight="1">
      <c r="A54" s="198" t="s">
        <v>122</v>
      </c>
      <c r="B54" s="133" t="s">
        <v>639</v>
      </c>
      <c r="C54" s="133" t="s">
        <v>59</v>
      </c>
      <c r="D54" s="133"/>
      <c r="E54" s="243">
        <v>1.75</v>
      </c>
      <c r="F54" s="510"/>
      <c r="G54" s="507"/>
    </row>
    <row r="55" spans="1:7" ht="21.75" customHeight="1">
      <c r="A55" s="181"/>
      <c r="B55" s="91" t="s">
        <v>309</v>
      </c>
      <c r="C55" s="102" t="s">
        <v>44</v>
      </c>
      <c r="D55" s="91">
        <f>1.15*8.4</f>
        <v>9.66</v>
      </c>
      <c r="E55" s="86">
        <f>D55*E54</f>
        <v>16.905</v>
      </c>
      <c r="F55" s="515"/>
      <c r="G55" s="509"/>
    </row>
    <row r="56" spans="1:7" ht="18" customHeight="1">
      <c r="A56" s="181"/>
      <c r="B56" s="91" t="s">
        <v>308</v>
      </c>
      <c r="C56" s="91" t="s">
        <v>54</v>
      </c>
      <c r="D56" s="91">
        <f>1.15*0.81</f>
        <v>0.9315</v>
      </c>
      <c r="E56" s="86">
        <f>D56*E54</f>
        <v>1.630125</v>
      </c>
      <c r="F56" s="518"/>
      <c r="G56" s="509"/>
    </row>
    <row r="57" spans="1:7" ht="24.75" customHeight="1">
      <c r="A57" s="181"/>
      <c r="B57" s="91" t="s">
        <v>640</v>
      </c>
      <c r="C57" s="91" t="s">
        <v>52</v>
      </c>
      <c r="D57" s="91">
        <v>1.015</v>
      </c>
      <c r="E57" s="86">
        <f>D57*E54</f>
        <v>1.7762499999999999</v>
      </c>
      <c r="F57" s="518"/>
      <c r="G57" s="513"/>
    </row>
    <row r="58" spans="1:7" ht="20.25" customHeight="1">
      <c r="A58" s="181"/>
      <c r="B58" s="91" t="s">
        <v>307</v>
      </c>
      <c r="C58" s="91" t="s">
        <v>80</v>
      </c>
      <c r="D58" s="91">
        <v>1.37</v>
      </c>
      <c r="E58" s="86">
        <f>D58*E54</f>
        <v>2.3975</v>
      </c>
      <c r="F58" s="518"/>
      <c r="G58" s="509"/>
    </row>
    <row r="59" spans="1:7" ht="24" customHeight="1">
      <c r="A59" s="181"/>
      <c r="B59" s="91" t="s">
        <v>536</v>
      </c>
      <c r="C59" s="91" t="s">
        <v>52</v>
      </c>
      <c r="D59" s="91">
        <v>0.0084</v>
      </c>
      <c r="E59" s="86">
        <f>E54*D59</f>
        <v>0.0147</v>
      </c>
      <c r="F59" s="518"/>
      <c r="G59" s="509"/>
    </row>
    <row r="60" spans="1:7" ht="27" customHeight="1">
      <c r="A60" s="181"/>
      <c r="B60" s="91" t="s">
        <v>348</v>
      </c>
      <c r="C60" s="91" t="s">
        <v>52</v>
      </c>
      <c r="D60" s="91">
        <f>0.0026+0.0256</f>
        <v>0.028200000000000003</v>
      </c>
      <c r="E60" s="86">
        <f>E54*D60</f>
        <v>0.049350000000000005</v>
      </c>
      <c r="F60" s="518"/>
      <c r="G60" s="509"/>
    </row>
    <row r="61" spans="1:7" ht="23.25" customHeight="1">
      <c r="A61" s="181"/>
      <c r="B61" s="91" t="s">
        <v>56</v>
      </c>
      <c r="C61" s="91" t="s">
        <v>54</v>
      </c>
      <c r="D61" s="91">
        <v>0.39</v>
      </c>
      <c r="E61" s="86">
        <f>D61*E54</f>
        <v>0.6825</v>
      </c>
      <c r="F61" s="518"/>
      <c r="G61" s="509"/>
    </row>
    <row r="62" spans="1:7" ht="27" customHeight="1">
      <c r="A62" s="234">
        <v>11</v>
      </c>
      <c r="B62" s="133" t="s">
        <v>277</v>
      </c>
      <c r="C62" s="133" t="s">
        <v>78</v>
      </c>
      <c r="D62" s="133"/>
      <c r="E62" s="401">
        <v>0.145</v>
      </c>
      <c r="F62" s="510"/>
      <c r="G62" s="511"/>
    </row>
    <row r="63" spans="1:7" ht="18.75" customHeight="1">
      <c r="A63" s="104"/>
      <c r="B63" s="91" t="s">
        <v>88</v>
      </c>
      <c r="C63" s="91" t="s">
        <v>78</v>
      </c>
      <c r="D63" s="91">
        <v>1.01</v>
      </c>
      <c r="E63" s="114">
        <f>E62*D63</f>
        <v>0.14645</v>
      </c>
      <c r="F63" s="518"/>
      <c r="G63" s="513"/>
    </row>
    <row r="64" spans="1:7" ht="19.5" customHeight="1">
      <c r="A64" s="104"/>
      <c r="B64" s="91" t="s">
        <v>278</v>
      </c>
      <c r="C64" s="91" t="s">
        <v>53</v>
      </c>
      <c r="D64" s="91">
        <v>3</v>
      </c>
      <c r="E64" s="114">
        <f>E62*D64</f>
        <v>0.43499999999999994</v>
      </c>
      <c r="F64" s="518"/>
      <c r="G64" s="513"/>
    </row>
    <row r="65" spans="1:7" ht="18" customHeight="1">
      <c r="A65" s="104"/>
      <c r="B65" s="91" t="s">
        <v>89</v>
      </c>
      <c r="C65" s="91" t="s">
        <v>53</v>
      </c>
      <c r="D65" s="91">
        <v>4</v>
      </c>
      <c r="E65" s="114">
        <f>E62*D65</f>
        <v>0.58</v>
      </c>
      <c r="F65" s="518"/>
      <c r="G65" s="513"/>
    </row>
    <row r="66" spans="1:7" ht="45" customHeight="1">
      <c r="A66" s="234">
        <v>12</v>
      </c>
      <c r="B66" s="133" t="s">
        <v>537</v>
      </c>
      <c r="C66" s="133" t="s">
        <v>80</v>
      </c>
      <c r="D66" s="133"/>
      <c r="E66" s="242">
        <v>13.5</v>
      </c>
      <c r="F66" s="510"/>
      <c r="G66" s="527"/>
    </row>
    <row r="67" spans="1:7" ht="34.5" customHeight="1">
      <c r="A67" s="104"/>
      <c r="B67" s="91" t="s">
        <v>538</v>
      </c>
      <c r="C67" s="91" t="s">
        <v>44</v>
      </c>
      <c r="D67" s="91">
        <f>1.15*(14.3+35*0.07)/100</f>
        <v>0.192625</v>
      </c>
      <c r="E67" s="86">
        <f>D67*E66</f>
        <v>2.6004375</v>
      </c>
      <c r="F67" s="518"/>
      <c r="G67" s="522"/>
    </row>
    <row r="68" spans="1:7" ht="24" customHeight="1">
      <c r="A68" s="104"/>
      <c r="B68" s="91" t="s">
        <v>539</v>
      </c>
      <c r="C68" s="91" t="s">
        <v>54</v>
      </c>
      <c r="D68" s="91">
        <f>1.15*(0.74+35*0.05)/100</f>
        <v>0.028635</v>
      </c>
      <c r="E68" s="86">
        <f>E66*D68</f>
        <v>0.3865725</v>
      </c>
      <c r="F68" s="518"/>
      <c r="G68" s="522"/>
    </row>
    <row r="69" spans="1:7" ht="36.75" customHeight="1">
      <c r="A69" s="104"/>
      <c r="B69" s="91" t="s">
        <v>540</v>
      </c>
      <c r="C69" s="91" t="s">
        <v>52</v>
      </c>
      <c r="D69" s="91">
        <f>(1.58+35*0.105)/100</f>
        <v>0.05255</v>
      </c>
      <c r="E69" s="86">
        <f>E66*D69</f>
        <v>0.709425</v>
      </c>
      <c r="F69" s="518"/>
      <c r="G69" s="522"/>
    </row>
    <row r="70" spans="1:7" ht="30" customHeight="1">
      <c r="A70" s="104"/>
      <c r="B70" s="91" t="s">
        <v>56</v>
      </c>
      <c r="C70" s="91" t="s">
        <v>54</v>
      </c>
      <c r="D70" s="91">
        <v>0.064</v>
      </c>
      <c r="E70" s="86">
        <f>E66*D70</f>
        <v>0.864</v>
      </c>
      <c r="F70" s="518"/>
      <c r="G70" s="522"/>
    </row>
    <row r="71" spans="1:7" ht="48.75" customHeight="1">
      <c r="A71" s="198" t="s">
        <v>123</v>
      </c>
      <c r="B71" s="431" t="s">
        <v>924</v>
      </c>
      <c r="C71" s="199" t="s">
        <v>74</v>
      </c>
      <c r="D71" s="133"/>
      <c r="E71" s="242">
        <v>13.5</v>
      </c>
      <c r="F71" s="510"/>
      <c r="G71" s="527"/>
    </row>
    <row r="72" spans="1:7" ht="19.5" customHeight="1">
      <c r="A72" s="181"/>
      <c r="B72" s="91" t="s">
        <v>541</v>
      </c>
      <c r="C72" s="91" t="s">
        <v>44</v>
      </c>
      <c r="D72" s="91">
        <f>1.15*0.16</f>
        <v>0.184</v>
      </c>
      <c r="E72" s="86">
        <f>D72*E71</f>
        <v>2.484</v>
      </c>
      <c r="F72" s="519"/>
      <c r="G72" s="522"/>
    </row>
    <row r="73" spans="1:7" ht="18" customHeight="1">
      <c r="A73" s="181"/>
      <c r="B73" s="91" t="s">
        <v>542</v>
      </c>
      <c r="C73" s="91" t="s">
        <v>54</v>
      </c>
      <c r="D73" s="91">
        <f>1.15*0.0032</f>
        <v>0.0036799999999999997</v>
      </c>
      <c r="E73" s="86">
        <f>E71*D73</f>
        <v>0.049679999999999995</v>
      </c>
      <c r="F73" s="518"/>
      <c r="G73" s="522"/>
    </row>
    <row r="74" spans="1:7" ht="23.25" customHeight="1">
      <c r="A74" s="181"/>
      <c r="B74" s="102" t="s">
        <v>99</v>
      </c>
      <c r="C74" s="102" t="s">
        <v>72</v>
      </c>
      <c r="D74" s="102">
        <v>0.0008</v>
      </c>
      <c r="E74" s="103">
        <f>E71*D74</f>
        <v>0.0108</v>
      </c>
      <c r="F74" s="522"/>
      <c r="G74" s="522"/>
    </row>
    <row r="75" spans="1:7" ht="21" customHeight="1">
      <c r="A75" s="181"/>
      <c r="B75" s="102" t="s">
        <v>543</v>
      </c>
      <c r="C75" s="102" t="s">
        <v>94</v>
      </c>
      <c r="D75" s="102">
        <v>0.2</v>
      </c>
      <c r="E75" s="103">
        <f>E71*D75</f>
        <v>2.7</v>
      </c>
      <c r="F75" s="595"/>
      <c r="G75" s="522"/>
    </row>
    <row r="76" spans="1:7" ht="22.5" customHeight="1">
      <c r="A76" s="181"/>
      <c r="B76" s="432" t="s">
        <v>925</v>
      </c>
      <c r="C76" s="102" t="s">
        <v>80</v>
      </c>
      <c r="D76" s="102">
        <v>1.11</v>
      </c>
      <c r="E76" s="103">
        <f>E71*D76</f>
        <v>14.985000000000001</v>
      </c>
      <c r="F76" s="518"/>
      <c r="G76" s="522"/>
    </row>
    <row r="77" spans="1:7" ht="75" customHeight="1">
      <c r="A77" s="234">
        <v>14</v>
      </c>
      <c r="B77" s="431" t="s">
        <v>926</v>
      </c>
      <c r="C77" s="133" t="s">
        <v>80</v>
      </c>
      <c r="D77" s="133"/>
      <c r="E77" s="242">
        <v>13.5</v>
      </c>
      <c r="F77" s="510"/>
      <c r="G77" s="527"/>
    </row>
    <row r="78" spans="1:7" ht="22.5" customHeight="1">
      <c r="A78" s="104"/>
      <c r="B78" s="91" t="s">
        <v>544</v>
      </c>
      <c r="C78" s="91" t="s">
        <v>44</v>
      </c>
      <c r="D78" s="91">
        <f>1.15*0.497</f>
        <v>0.57155</v>
      </c>
      <c r="E78" s="86">
        <f>D78*E77</f>
        <v>7.715925</v>
      </c>
      <c r="F78" s="518"/>
      <c r="G78" s="522"/>
    </row>
    <row r="79" spans="1:7" ht="19.5" customHeight="1">
      <c r="A79" s="104"/>
      <c r="B79" s="91" t="s">
        <v>100</v>
      </c>
      <c r="C79" s="91" t="s">
        <v>54</v>
      </c>
      <c r="D79" s="91">
        <v>0.0284</v>
      </c>
      <c r="E79" s="86">
        <f>D79*E77</f>
        <v>0.3834</v>
      </c>
      <c r="F79" s="518"/>
      <c r="G79" s="522"/>
    </row>
    <row r="80" spans="1:7" ht="24.75" customHeight="1">
      <c r="A80" s="104"/>
      <c r="B80" s="91" t="s">
        <v>545</v>
      </c>
      <c r="C80" s="91" t="s">
        <v>80</v>
      </c>
      <c r="D80" s="91">
        <v>2.5</v>
      </c>
      <c r="E80" s="86">
        <f>D80*E77</f>
        <v>33.75</v>
      </c>
      <c r="F80" s="518"/>
      <c r="G80" s="522"/>
    </row>
    <row r="81" spans="1:7" ht="25.5" customHeight="1">
      <c r="A81" s="104"/>
      <c r="B81" s="432" t="s">
        <v>927</v>
      </c>
      <c r="C81" s="91" t="s">
        <v>80</v>
      </c>
      <c r="D81" s="91">
        <v>1.25</v>
      </c>
      <c r="E81" s="86">
        <f>D81*E77</f>
        <v>16.875</v>
      </c>
      <c r="F81" s="518"/>
      <c r="G81" s="522"/>
    </row>
    <row r="82" spans="1:7" ht="29.25" customHeight="1">
      <c r="A82" s="104"/>
      <c r="B82" s="91" t="s">
        <v>546</v>
      </c>
      <c r="C82" s="91" t="s">
        <v>52</v>
      </c>
      <c r="D82" s="91">
        <v>0.0016</v>
      </c>
      <c r="E82" s="86">
        <f>D82*E77</f>
        <v>0.0216</v>
      </c>
      <c r="F82" s="518"/>
      <c r="G82" s="522"/>
    </row>
    <row r="83" spans="1:7" ht="25.5" customHeight="1">
      <c r="A83" s="104"/>
      <c r="B83" s="91" t="s">
        <v>547</v>
      </c>
      <c r="C83" s="91" t="s">
        <v>72</v>
      </c>
      <c r="D83" s="112">
        <v>0.0003</v>
      </c>
      <c r="E83" s="112">
        <f>E77*D83</f>
        <v>0.00405</v>
      </c>
      <c r="F83" s="518"/>
      <c r="G83" s="522"/>
    </row>
    <row r="84" spans="1:7" ht="13.5">
      <c r="A84" s="104"/>
      <c r="B84" s="91" t="s">
        <v>548</v>
      </c>
      <c r="C84" s="91" t="s">
        <v>94</v>
      </c>
      <c r="D84" s="91">
        <v>0.8</v>
      </c>
      <c r="E84" s="86">
        <f>D84*E77</f>
        <v>10.8</v>
      </c>
      <c r="F84" s="518"/>
      <c r="G84" s="522"/>
    </row>
    <row r="85" spans="1:7" ht="21" customHeight="1">
      <c r="A85" s="104"/>
      <c r="B85" s="91" t="s">
        <v>549</v>
      </c>
      <c r="C85" s="91" t="s">
        <v>94</v>
      </c>
      <c r="D85" s="91">
        <v>0.5</v>
      </c>
      <c r="E85" s="86">
        <f>E77*D85</f>
        <v>6.75</v>
      </c>
      <c r="F85" s="518"/>
      <c r="G85" s="522"/>
    </row>
    <row r="86" spans="1:7" ht="23.25" customHeight="1">
      <c r="A86" s="104"/>
      <c r="B86" s="91" t="s">
        <v>56</v>
      </c>
      <c r="C86" s="91" t="s">
        <v>54</v>
      </c>
      <c r="D86" s="91">
        <v>0.0206</v>
      </c>
      <c r="E86" s="86">
        <f>E77*D86</f>
        <v>0.2781</v>
      </c>
      <c r="F86" s="518"/>
      <c r="G86" s="522"/>
    </row>
    <row r="87" spans="1:7" ht="42.75" customHeight="1">
      <c r="A87" s="234">
        <v>15</v>
      </c>
      <c r="B87" s="133" t="s">
        <v>550</v>
      </c>
      <c r="C87" s="133" t="s">
        <v>74</v>
      </c>
      <c r="D87" s="133"/>
      <c r="E87" s="243">
        <v>0.85</v>
      </c>
      <c r="F87" s="510"/>
      <c r="G87" s="511"/>
    </row>
    <row r="88" spans="1:7" ht="29.25" customHeight="1">
      <c r="A88" s="104"/>
      <c r="B88" s="91" t="s">
        <v>84</v>
      </c>
      <c r="C88" s="91" t="s">
        <v>74</v>
      </c>
      <c r="D88" s="91">
        <v>1</v>
      </c>
      <c r="E88" s="86">
        <f>E87*D88</f>
        <v>0.85</v>
      </c>
      <c r="F88" s="518"/>
      <c r="G88" s="513"/>
    </row>
    <row r="89" spans="1:7" ht="30.75" customHeight="1">
      <c r="A89" s="234">
        <v>16</v>
      </c>
      <c r="B89" s="133" t="s">
        <v>823</v>
      </c>
      <c r="C89" s="133" t="s">
        <v>74</v>
      </c>
      <c r="D89" s="133"/>
      <c r="E89" s="242">
        <v>3.2</v>
      </c>
      <c r="F89" s="510"/>
      <c r="G89" s="511"/>
    </row>
    <row r="90" spans="1:7" ht="21.75" customHeight="1">
      <c r="A90" s="104"/>
      <c r="B90" s="91" t="s">
        <v>84</v>
      </c>
      <c r="C90" s="91" t="s">
        <v>74</v>
      </c>
      <c r="D90" s="91">
        <v>1</v>
      </c>
      <c r="E90" s="116">
        <f>E89*D90</f>
        <v>3.2</v>
      </c>
      <c r="F90" s="518"/>
      <c r="G90" s="513"/>
    </row>
    <row r="91" spans="1:7" ht="42" customHeight="1">
      <c r="A91" s="198" t="s">
        <v>81</v>
      </c>
      <c r="B91" s="133" t="s">
        <v>551</v>
      </c>
      <c r="C91" s="133" t="s">
        <v>61</v>
      </c>
      <c r="D91" s="133"/>
      <c r="E91" s="242">
        <v>18</v>
      </c>
      <c r="F91" s="510"/>
      <c r="G91" s="511"/>
    </row>
    <row r="92" spans="1:7" ht="19.5" customHeight="1">
      <c r="A92" s="104"/>
      <c r="B92" s="91" t="s">
        <v>159</v>
      </c>
      <c r="C92" s="91" t="s">
        <v>44</v>
      </c>
      <c r="D92" s="91">
        <f>1.15*0.3</f>
        <v>0.345</v>
      </c>
      <c r="E92" s="86">
        <f>D92*E91</f>
        <v>6.209999999999999</v>
      </c>
      <c r="F92" s="518"/>
      <c r="G92" s="513"/>
    </row>
    <row r="93" spans="1:7" ht="19.5" customHeight="1">
      <c r="A93" s="104"/>
      <c r="B93" s="91" t="s">
        <v>115</v>
      </c>
      <c r="C93" s="91" t="s">
        <v>54</v>
      </c>
      <c r="D93" s="91">
        <f>1.15*0.011</f>
        <v>0.012649999999999998</v>
      </c>
      <c r="E93" s="86">
        <f>D93*E91</f>
        <v>0.22769999999999996</v>
      </c>
      <c r="F93" s="518"/>
      <c r="G93" s="513"/>
    </row>
    <row r="94" spans="1:7" ht="13.5">
      <c r="A94" s="104"/>
      <c r="B94" s="91" t="s">
        <v>102</v>
      </c>
      <c r="C94" s="91" t="s">
        <v>52</v>
      </c>
      <c r="D94" s="91">
        <v>0.0067</v>
      </c>
      <c r="E94" s="86">
        <f>D94*E91</f>
        <v>0.1206</v>
      </c>
      <c r="F94" s="518"/>
      <c r="G94" s="513"/>
    </row>
    <row r="95" spans="1:7" ht="74.25" customHeight="1">
      <c r="A95" s="198" t="s">
        <v>160</v>
      </c>
      <c r="B95" s="133" t="s">
        <v>641</v>
      </c>
      <c r="C95" s="133" t="s">
        <v>52</v>
      </c>
      <c r="D95" s="133"/>
      <c r="E95" s="133">
        <v>0.8</v>
      </c>
      <c r="F95" s="510"/>
      <c r="G95" s="527"/>
    </row>
    <row r="96" spans="1:7" ht="24" customHeight="1">
      <c r="A96" s="181"/>
      <c r="B96" s="91" t="s">
        <v>552</v>
      </c>
      <c r="C96" s="102" t="s">
        <v>44</v>
      </c>
      <c r="D96" s="91">
        <f>1.15*2.9</f>
        <v>3.3349999999999995</v>
      </c>
      <c r="E96" s="86">
        <f>D96*E95</f>
        <v>2.6679999999999997</v>
      </c>
      <c r="F96" s="519"/>
      <c r="G96" s="513"/>
    </row>
    <row r="97" spans="1:7" ht="24" customHeight="1">
      <c r="A97" s="181"/>
      <c r="B97" s="91" t="s">
        <v>642</v>
      </c>
      <c r="C97" s="91" t="s">
        <v>52</v>
      </c>
      <c r="D97" s="91">
        <v>1.02</v>
      </c>
      <c r="E97" s="86">
        <f>E95*D97</f>
        <v>0.8160000000000001</v>
      </c>
      <c r="F97" s="515"/>
      <c r="G97" s="522"/>
    </row>
    <row r="98" spans="1:7" ht="22.5" customHeight="1">
      <c r="A98" s="181"/>
      <c r="B98" s="102" t="s">
        <v>63</v>
      </c>
      <c r="C98" s="91" t="s">
        <v>54</v>
      </c>
      <c r="D98" s="91">
        <v>0.88</v>
      </c>
      <c r="E98" s="86">
        <f>D98*E95</f>
        <v>0.7040000000000001</v>
      </c>
      <c r="F98" s="518"/>
      <c r="G98" s="522"/>
    </row>
    <row r="99" spans="1:7" ht="46.5" customHeight="1">
      <c r="A99" s="198" t="s">
        <v>237</v>
      </c>
      <c r="B99" s="133" t="s">
        <v>553</v>
      </c>
      <c r="C99" s="410" t="s">
        <v>77</v>
      </c>
      <c r="D99" s="133"/>
      <c r="E99" s="242">
        <v>8</v>
      </c>
      <c r="F99" s="510"/>
      <c r="G99" s="511"/>
    </row>
    <row r="100" spans="1:7" ht="27.75" customHeight="1">
      <c r="A100" s="181"/>
      <c r="B100" s="91" t="s">
        <v>164</v>
      </c>
      <c r="C100" s="91" t="s">
        <v>44</v>
      </c>
      <c r="D100" s="91">
        <f>1.15*(18.8+3*0.34)/100</f>
        <v>0.22793</v>
      </c>
      <c r="E100" s="103">
        <f>D100*E99</f>
        <v>1.82344</v>
      </c>
      <c r="F100" s="518"/>
      <c r="G100" s="513"/>
    </row>
    <row r="101" spans="1:7" ht="20.25" customHeight="1">
      <c r="A101" s="181"/>
      <c r="B101" s="91" t="s">
        <v>103</v>
      </c>
      <c r="C101" s="91" t="s">
        <v>54</v>
      </c>
      <c r="D101" s="91">
        <f>1.15*(0.95+3*0.23)/100</f>
        <v>0.01886</v>
      </c>
      <c r="E101" s="86">
        <f>D101*E99</f>
        <v>0.15088</v>
      </c>
      <c r="F101" s="518"/>
      <c r="G101" s="513"/>
    </row>
    <row r="102" spans="1:7" ht="33" customHeight="1">
      <c r="A102" s="181"/>
      <c r="B102" s="91" t="s">
        <v>104</v>
      </c>
      <c r="C102" s="91" t="s">
        <v>59</v>
      </c>
      <c r="D102" s="91">
        <f>(2.04+3*0.51)/100</f>
        <v>0.0357</v>
      </c>
      <c r="E102" s="86">
        <f>D102*E99</f>
        <v>0.2856</v>
      </c>
      <c r="F102" s="518"/>
      <c r="G102" s="513"/>
    </row>
    <row r="103" spans="1:7" ht="31.5" customHeight="1">
      <c r="A103" s="181"/>
      <c r="B103" s="91" t="s">
        <v>56</v>
      </c>
      <c r="C103" s="91" t="s">
        <v>54</v>
      </c>
      <c r="D103" s="91">
        <v>0.0636</v>
      </c>
      <c r="E103" s="86">
        <f>D103*E99</f>
        <v>0.5088</v>
      </c>
      <c r="F103" s="518"/>
      <c r="G103" s="513"/>
    </row>
    <row r="104" spans="1:7" ht="27">
      <c r="A104" s="234">
        <v>20</v>
      </c>
      <c r="B104" s="133" t="s">
        <v>554</v>
      </c>
      <c r="C104" s="410" t="s">
        <v>77</v>
      </c>
      <c r="D104" s="133"/>
      <c r="E104" s="242">
        <v>8</v>
      </c>
      <c r="F104" s="510"/>
      <c r="G104" s="511"/>
    </row>
    <row r="105" spans="1:7" ht="21.75" customHeight="1">
      <c r="A105" s="104"/>
      <c r="B105" s="91" t="s">
        <v>165</v>
      </c>
      <c r="C105" s="91" t="s">
        <v>44</v>
      </c>
      <c r="D105" s="91">
        <f>1.15*1.08</f>
        <v>1.242</v>
      </c>
      <c r="E105" s="86">
        <f>D105*E104</f>
        <v>9.936</v>
      </c>
      <c r="F105" s="518"/>
      <c r="G105" s="513"/>
    </row>
    <row r="106" spans="1:7" ht="21.75" customHeight="1">
      <c r="A106" s="104"/>
      <c r="B106" s="91" t="s">
        <v>85</v>
      </c>
      <c r="C106" s="91" t="s">
        <v>54</v>
      </c>
      <c r="D106" s="91">
        <f>1.15*0.0452</f>
        <v>0.05197999999999999</v>
      </c>
      <c r="E106" s="86">
        <f>D106*E104</f>
        <v>0.41583999999999993</v>
      </c>
      <c r="F106" s="518"/>
      <c r="G106" s="513"/>
    </row>
    <row r="107" spans="1:7" ht="21" customHeight="1">
      <c r="A107" s="104"/>
      <c r="B107" s="91" t="s">
        <v>107</v>
      </c>
      <c r="C107" s="91" t="s">
        <v>74</v>
      </c>
      <c r="D107" s="91">
        <v>1.02</v>
      </c>
      <c r="E107" s="86">
        <f>D107*E104</f>
        <v>8.16</v>
      </c>
      <c r="F107" s="518"/>
      <c r="G107" s="513"/>
    </row>
    <row r="108" spans="1:7" ht="22.5" customHeight="1">
      <c r="A108" s="104"/>
      <c r="B108" s="91" t="s">
        <v>105</v>
      </c>
      <c r="C108" s="91" t="s">
        <v>94</v>
      </c>
      <c r="D108" s="91">
        <v>8</v>
      </c>
      <c r="E108" s="86">
        <f>D108*E104</f>
        <v>64</v>
      </c>
      <c r="F108" s="518"/>
      <c r="G108" s="513"/>
    </row>
    <row r="109" spans="1:7" ht="21.75" customHeight="1">
      <c r="A109" s="104"/>
      <c r="B109" s="91" t="s">
        <v>56</v>
      </c>
      <c r="C109" s="91" t="s">
        <v>54</v>
      </c>
      <c r="D109" s="91">
        <v>0.0466</v>
      </c>
      <c r="E109" s="86">
        <f>D109*E104</f>
        <v>0.3728</v>
      </c>
      <c r="F109" s="518"/>
      <c r="G109" s="513"/>
    </row>
    <row r="110" spans="1:7" ht="44.25" customHeight="1">
      <c r="A110" s="198" t="s">
        <v>124</v>
      </c>
      <c r="B110" s="133" t="s">
        <v>288</v>
      </c>
      <c r="C110" s="133" t="s">
        <v>61</v>
      </c>
      <c r="D110" s="133"/>
      <c r="E110" s="242">
        <v>11</v>
      </c>
      <c r="F110" s="510"/>
      <c r="G110" s="511"/>
    </row>
    <row r="111" spans="1:7" ht="18.75" customHeight="1">
      <c r="A111" s="104"/>
      <c r="B111" s="91" t="s">
        <v>289</v>
      </c>
      <c r="C111" s="91" t="s">
        <v>44</v>
      </c>
      <c r="D111" s="91">
        <f>1.15*0.269</f>
        <v>0.30935</v>
      </c>
      <c r="E111" s="86">
        <f>D111*E110</f>
        <v>3.40285</v>
      </c>
      <c r="F111" s="518"/>
      <c r="G111" s="513"/>
    </row>
    <row r="112" spans="1:7" ht="15" customHeight="1">
      <c r="A112" s="104"/>
      <c r="B112" s="91" t="s">
        <v>290</v>
      </c>
      <c r="C112" s="91" t="s">
        <v>54</v>
      </c>
      <c r="D112" s="125">
        <f>1.15*0.0116</f>
        <v>0.013339999999999998</v>
      </c>
      <c r="E112" s="86">
        <f>D112*E110</f>
        <v>0.14673999999999998</v>
      </c>
      <c r="F112" s="518"/>
      <c r="G112" s="513"/>
    </row>
    <row r="113" spans="1:7" ht="20.25" customHeight="1">
      <c r="A113" s="104"/>
      <c r="B113" s="91" t="s">
        <v>291</v>
      </c>
      <c r="C113" s="91" t="s">
        <v>80</v>
      </c>
      <c r="D113" s="114">
        <v>0.102</v>
      </c>
      <c r="E113" s="86">
        <f>D113*E110</f>
        <v>1.1219999999999999</v>
      </c>
      <c r="F113" s="518"/>
      <c r="G113" s="513"/>
    </row>
    <row r="114" spans="1:7" ht="23.25" customHeight="1">
      <c r="A114" s="104"/>
      <c r="B114" s="91" t="s">
        <v>105</v>
      </c>
      <c r="C114" s="91" t="s">
        <v>94</v>
      </c>
      <c r="D114" s="114">
        <f>8*0.1</f>
        <v>0.8</v>
      </c>
      <c r="E114" s="86">
        <f>D114*E110</f>
        <v>8.8</v>
      </c>
      <c r="F114" s="518"/>
      <c r="G114" s="513"/>
    </row>
    <row r="115" spans="1:7" ht="40.5" customHeight="1">
      <c r="A115" s="198" t="s">
        <v>92</v>
      </c>
      <c r="B115" s="245" t="s">
        <v>297</v>
      </c>
      <c r="C115" s="357" t="s">
        <v>77</v>
      </c>
      <c r="D115" s="245"/>
      <c r="E115" s="351">
        <v>32.8</v>
      </c>
      <c r="F115" s="510"/>
      <c r="G115" s="507"/>
    </row>
    <row r="116" spans="1:7" ht="30" customHeight="1">
      <c r="A116" s="181"/>
      <c r="B116" s="91" t="s">
        <v>298</v>
      </c>
      <c r="C116" s="91" t="s">
        <v>44</v>
      </c>
      <c r="D116" s="91">
        <f>1.15*(101+106)/2/100</f>
        <v>1.1902499999999998</v>
      </c>
      <c r="E116" s="122">
        <f>E115*D116</f>
        <v>39.04019999999999</v>
      </c>
      <c r="F116" s="518"/>
      <c r="G116" s="509"/>
    </row>
    <row r="117" spans="1:7" ht="21" customHeight="1">
      <c r="A117" s="181"/>
      <c r="B117" s="91" t="s">
        <v>173</v>
      </c>
      <c r="C117" s="87" t="s">
        <v>62</v>
      </c>
      <c r="D117" s="91">
        <f>1.15*0.041</f>
        <v>0.04715</v>
      </c>
      <c r="E117" s="86">
        <f>E115*D117</f>
        <v>1.5465199999999997</v>
      </c>
      <c r="F117" s="518"/>
      <c r="G117" s="513"/>
    </row>
    <row r="118" spans="1:7" ht="22.5" customHeight="1">
      <c r="A118" s="181"/>
      <c r="B118" s="91" t="s">
        <v>174</v>
      </c>
      <c r="C118" s="91" t="s">
        <v>54</v>
      </c>
      <c r="D118" s="91">
        <f>1.15*0.027</f>
        <v>0.031049999999999998</v>
      </c>
      <c r="E118" s="103">
        <f>D118*E115</f>
        <v>1.0184399999999998</v>
      </c>
      <c r="F118" s="518"/>
      <c r="G118" s="509"/>
    </row>
    <row r="119" spans="1:7" ht="30" customHeight="1">
      <c r="A119" s="181"/>
      <c r="B119" s="102" t="s">
        <v>299</v>
      </c>
      <c r="C119" s="102" t="s">
        <v>52</v>
      </c>
      <c r="D119" s="102">
        <v>0.0238</v>
      </c>
      <c r="E119" s="103">
        <f>D119*E115</f>
        <v>0.78064</v>
      </c>
      <c r="F119" s="518"/>
      <c r="G119" s="509"/>
    </row>
    <row r="120" spans="1:7" ht="25.5" customHeight="1">
      <c r="A120" s="181"/>
      <c r="B120" s="102" t="s">
        <v>300</v>
      </c>
      <c r="C120" s="102" t="s">
        <v>54</v>
      </c>
      <c r="D120" s="102">
        <f>(0.003+0.002)/2</f>
        <v>0.0025</v>
      </c>
      <c r="E120" s="103">
        <f>D120*E115</f>
        <v>0.08199999999999999</v>
      </c>
      <c r="F120" s="518"/>
      <c r="G120" s="509"/>
    </row>
    <row r="121" spans="1:7" ht="39" customHeight="1">
      <c r="A121" s="234">
        <v>23</v>
      </c>
      <c r="B121" s="133" t="s">
        <v>555</v>
      </c>
      <c r="C121" s="133" t="s">
        <v>80</v>
      </c>
      <c r="D121" s="133"/>
      <c r="E121" s="242">
        <v>34</v>
      </c>
      <c r="F121" s="510"/>
      <c r="G121" s="527"/>
    </row>
    <row r="122" spans="1:7" ht="30.75" customHeight="1">
      <c r="A122" s="104"/>
      <c r="B122" s="91" t="s">
        <v>556</v>
      </c>
      <c r="C122" s="91" t="s">
        <v>44</v>
      </c>
      <c r="D122" s="91">
        <f>1.15*(41+51.6)/2/100</f>
        <v>0.5324499999999999</v>
      </c>
      <c r="E122" s="86">
        <f>D122*E121</f>
        <v>18.103299999999997</v>
      </c>
      <c r="F122" s="518"/>
      <c r="G122" s="513"/>
    </row>
    <row r="123" spans="1:7" ht="19.5" customHeight="1">
      <c r="A123" s="104"/>
      <c r="B123" s="91" t="s">
        <v>557</v>
      </c>
      <c r="C123" s="91" t="s">
        <v>54</v>
      </c>
      <c r="D123" s="91">
        <f>1.15*(0.9+1)/2/100</f>
        <v>0.010924999999999997</v>
      </c>
      <c r="E123" s="86">
        <f>D123*E121</f>
        <v>0.3714499999999999</v>
      </c>
      <c r="F123" s="518"/>
      <c r="G123" s="522"/>
    </row>
    <row r="124" spans="1:7" ht="21.75" customHeight="1">
      <c r="A124" s="104"/>
      <c r="B124" s="91" t="s">
        <v>558</v>
      </c>
      <c r="C124" s="91" t="s">
        <v>94</v>
      </c>
      <c r="D124" s="91">
        <v>0.63</v>
      </c>
      <c r="E124" s="86">
        <f>D124*E121</f>
        <v>21.42</v>
      </c>
      <c r="F124" s="518"/>
      <c r="G124" s="522"/>
    </row>
    <row r="125" spans="1:7" ht="26.25" customHeight="1">
      <c r="A125" s="104"/>
      <c r="B125" s="91" t="s">
        <v>559</v>
      </c>
      <c r="C125" s="91" t="s">
        <v>94</v>
      </c>
      <c r="D125" s="114">
        <f>(51+55)/2/100</f>
        <v>0.53</v>
      </c>
      <c r="E125" s="116">
        <f>D125*E121</f>
        <v>18.02</v>
      </c>
      <c r="F125" s="518"/>
      <c r="G125" s="522"/>
    </row>
    <row r="126" spans="1:7" ht="25.5" customHeight="1">
      <c r="A126" s="104"/>
      <c r="B126" s="91" t="s">
        <v>560</v>
      </c>
      <c r="C126" s="91" t="s">
        <v>54</v>
      </c>
      <c r="D126" s="91">
        <v>0.007</v>
      </c>
      <c r="E126" s="86">
        <f>D126*E121</f>
        <v>0.23800000000000002</v>
      </c>
      <c r="F126" s="518"/>
      <c r="G126" s="522"/>
    </row>
    <row r="127" spans="1:7" ht="42.75" customHeight="1">
      <c r="A127" s="198" t="s">
        <v>125</v>
      </c>
      <c r="B127" s="133" t="s">
        <v>177</v>
      </c>
      <c r="C127" s="133" t="s">
        <v>74</v>
      </c>
      <c r="D127" s="133"/>
      <c r="E127" s="242">
        <v>7.7</v>
      </c>
      <c r="F127" s="510"/>
      <c r="G127" s="511"/>
    </row>
    <row r="128" spans="1:7" ht="21" customHeight="1">
      <c r="A128" s="181"/>
      <c r="B128" s="91" t="s">
        <v>176</v>
      </c>
      <c r="C128" s="91" t="s">
        <v>44</v>
      </c>
      <c r="D128" s="91">
        <f>1.15*0.388</f>
        <v>0.4462</v>
      </c>
      <c r="E128" s="86">
        <f>D128*E127</f>
        <v>3.43574</v>
      </c>
      <c r="F128" s="518"/>
      <c r="G128" s="513"/>
    </row>
    <row r="129" spans="1:7" ht="18.75" customHeight="1">
      <c r="A129" s="181"/>
      <c r="B129" s="91" t="s">
        <v>127</v>
      </c>
      <c r="C129" s="91" t="s">
        <v>54</v>
      </c>
      <c r="D129" s="91">
        <f>1.15*0.0003</f>
        <v>0.00034499999999999993</v>
      </c>
      <c r="E129" s="86">
        <f>D129*E127</f>
        <v>0.0026564999999999996</v>
      </c>
      <c r="F129" s="518"/>
      <c r="G129" s="513"/>
    </row>
    <row r="130" spans="1:7" ht="18.75" customHeight="1">
      <c r="A130" s="181"/>
      <c r="B130" s="91" t="s">
        <v>128</v>
      </c>
      <c r="C130" s="91" t="s">
        <v>94</v>
      </c>
      <c r="D130" s="91">
        <v>0.24600000000000002</v>
      </c>
      <c r="E130" s="86">
        <f>D130*E127</f>
        <v>1.8942000000000003</v>
      </c>
      <c r="F130" s="518"/>
      <c r="G130" s="513"/>
    </row>
    <row r="131" spans="1:7" ht="17.25" customHeight="1">
      <c r="A131" s="181"/>
      <c r="B131" s="91" t="s">
        <v>129</v>
      </c>
      <c r="C131" s="91" t="s">
        <v>94</v>
      </c>
      <c r="D131" s="91">
        <v>0.027000000000000003</v>
      </c>
      <c r="E131" s="86">
        <f>D131*E127</f>
        <v>0.20790000000000003</v>
      </c>
      <c r="F131" s="518"/>
      <c r="G131" s="513"/>
    </row>
    <row r="132" spans="1:7" ht="21" customHeight="1">
      <c r="A132" s="181"/>
      <c r="B132" s="91" t="s">
        <v>56</v>
      </c>
      <c r="C132" s="91" t="s">
        <v>54</v>
      </c>
      <c r="D132" s="91">
        <v>0.0019</v>
      </c>
      <c r="E132" s="86">
        <f>D132*E127</f>
        <v>0.01463</v>
      </c>
      <c r="F132" s="518"/>
      <c r="G132" s="513"/>
    </row>
    <row r="133" spans="1:7" ht="41.25" customHeight="1">
      <c r="A133" s="198" t="s">
        <v>246</v>
      </c>
      <c r="B133" s="245" t="s">
        <v>561</v>
      </c>
      <c r="C133" s="357" t="s">
        <v>77</v>
      </c>
      <c r="D133" s="245"/>
      <c r="E133" s="351">
        <v>33.2</v>
      </c>
      <c r="F133" s="510"/>
      <c r="G133" s="507"/>
    </row>
    <row r="134" spans="1:7" ht="24.75" customHeight="1">
      <c r="A134" s="181"/>
      <c r="B134" s="91" t="s">
        <v>562</v>
      </c>
      <c r="C134" s="91" t="s">
        <v>44</v>
      </c>
      <c r="D134" s="91">
        <f>1.15*0.93</f>
        <v>1.0695</v>
      </c>
      <c r="E134" s="122">
        <f>E133*D134</f>
        <v>35.5074</v>
      </c>
      <c r="F134" s="518"/>
      <c r="G134" s="509"/>
    </row>
    <row r="135" spans="1:7" ht="15.75" customHeight="1">
      <c r="A135" s="181"/>
      <c r="B135" s="91" t="s">
        <v>563</v>
      </c>
      <c r="C135" s="87" t="s">
        <v>62</v>
      </c>
      <c r="D135" s="91">
        <f>1.15*0.024</f>
        <v>0.0276</v>
      </c>
      <c r="E135" s="86">
        <f>E133*D135</f>
        <v>0.91632</v>
      </c>
      <c r="F135" s="518"/>
      <c r="G135" s="513"/>
    </row>
    <row r="136" spans="1:7" ht="18.75" customHeight="1">
      <c r="A136" s="181"/>
      <c r="B136" s="91" t="s">
        <v>564</v>
      </c>
      <c r="C136" s="91" t="s">
        <v>54</v>
      </c>
      <c r="D136" s="91">
        <f>1.15*0.026</f>
        <v>0.029899999999999996</v>
      </c>
      <c r="E136" s="103">
        <f>D136*E133</f>
        <v>0.99268</v>
      </c>
      <c r="F136" s="518"/>
      <c r="G136" s="509"/>
    </row>
    <row r="137" spans="1:7" ht="19.5" customHeight="1">
      <c r="A137" s="181"/>
      <c r="B137" s="102" t="s">
        <v>102</v>
      </c>
      <c r="C137" s="102" t="s">
        <v>52</v>
      </c>
      <c r="D137" s="102">
        <v>0.0255</v>
      </c>
      <c r="E137" s="103">
        <f>D137*E133</f>
        <v>0.8466</v>
      </c>
      <c r="F137" s="518"/>
      <c r="G137" s="509"/>
    </row>
    <row r="138" spans="1:7" ht="15" customHeight="1">
      <c r="A138" s="181"/>
      <c r="B138" s="102" t="s">
        <v>56</v>
      </c>
      <c r="C138" s="102" t="s">
        <v>54</v>
      </c>
      <c r="D138" s="102">
        <f>(0.003+0.002)/2</f>
        <v>0.0025</v>
      </c>
      <c r="E138" s="103">
        <f>D138*E133</f>
        <v>0.083</v>
      </c>
      <c r="F138" s="518"/>
      <c r="G138" s="509"/>
    </row>
    <row r="139" spans="1:7" ht="56.25" customHeight="1">
      <c r="A139" s="234">
        <v>26</v>
      </c>
      <c r="B139" s="133" t="s">
        <v>565</v>
      </c>
      <c r="C139" s="133" t="s">
        <v>80</v>
      </c>
      <c r="D139" s="133"/>
      <c r="E139" s="242">
        <v>34.4</v>
      </c>
      <c r="F139" s="510"/>
      <c r="G139" s="507"/>
    </row>
    <row r="140" spans="1:7" ht="24" customHeight="1">
      <c r="A140" s="104"/>
      <c r="B140" s="91" t="s">
        <v>566</v>
      </c>
      <c r="C140" s="91" t="s">
        <v>44</v>
      </c>
      <c r="D140" s="91">
        <f>1.15*0.41</f>
        <v>0.4714999999999999</v>
      </c>
      <c r="E140" s="86">
        <f>D140*E139</f>
        <v>16.219599999999996</v>
      </c>
      <c r="F140" s="518"/>
      <c r="G140" s="509"/>
    </row>
    <row r="141" spans="1:7" ht="18.75" customHeight="1">
      <c r="A141" s="104"/>
      <c r="B141" s="91" t="s">
        <v>567</v>
      </c>
      <c r="C141" s="91" t="s">
        <v>54</v>
      </c>
      <c r="D141" s="91">
        <f>1.15*0.009</f>
        <v>0.010349999999999998</v>
      </c>
      <c r="E141" s="86">
        <f>D141*E139</f>
        <v>0.3560399999999999</v>
      </c>
      <c r="F141" s="518"/>
      <c r="G141" s="522"/>
    </row>
    <row r="142" spans="1:7" ht="22.5" customHeight="1">
      <c r="A142" s="104"/>
      <c r="B142" s="91" t="s">
        <v>568</v>
      </c>
      <c r="C142" s="91" t="s">
        <v>94</v>
      </c>
      <c r="D142" s="91">
        <v>0.63</v>
      </c>
      <c r="E142" s="86">
        <f>D142*E139</f>
        <v>21.672</v>
      </c>
      <c r="F142" s="518"/>
      <c r="G142" s="522"/>
    </row>
    <row r="143" spans="1:7" ht="24" customHeight="1">
      <c r="A143" s="104"/>
      <c r="B143" s="91" t="s">
        <v>569</v>
      </c>
      <c r="C143" s="91" t="s">
        <v>94</v>
      </c>
      <c r="D143" s="114">
        <v>0.55</v>
      </c>
      <c r="E143" s="116">
        <f>D143*E139</f>
        <v>18.92</v>
      </c>
      <c r="F143" s="518"/>
      <c r="G143" s="522"/>
    </row>
    <row r="144" spans="1:7" ht="23.25" customHeight="1">
      <c r="A144" s="104"/>
      <c r="B144" s="102" t="s">
        <v>56</v>
      </c>
      <c r="C144" s="91" t="s">
        <v>54</v>
      </c>
      <c r="D144" s="91">
        <v>0.007</v>
      </c>
      <c r="E144" s="86">
        <f>D144*E139</f>
        <v>0.2408</v>
      </c>
      <c r="F144" s="518"/>
      <c r="G144" s="522"/>
    </row>
    <row r="145" spans="1:7" ht="37.5" customHeight="1">
      <c r="A145" s="198" t="s">
        <v>247</v>
      </c>
      <c r="B145" s="133" t="s">
        <v>633</v>
      </c>
      <c r="C145" s="199" t="s">
        <v>95</v>
      </c>
      <c r="D145" s="133"/>
      <c r="E145" s="234">
        <v>1</v>
      </c>
      <c r="F145" s="510"/>
      <c r="G145" s="527"/>
    </row>
    <row r="146" spans="1:7" ht="26.25" customHeight="1">
      <c r="A146" s="181"/>
      <c r="B146" s="91" t="s">
        <v>220</v>
      </c>
      <c r="C146" s="91" t="s">
        <v>44</v>
      </c>
      <c r="D146" s="91">
        <f>1.15*1.52</f>
        <v>1.7479999999999998</v>
      </c>
      <c r="E146" s="122">
        <f>E145*D146</f>
        <v>1.7479999999999998</v>
      </c>
      <c r="F146" s="518"/>
      <c r="G146" s="509"/>
    </row>
    <row r="147" spans="1:7" ht="26.25" customHeight="1">
      <c r="A147" s="181"/>
      <c r="B147" s="91" t="s">
        <v>625</v>
      </c>
      <c r="C147" s="91" t="s">
        <v>53</v>
      </c>
      <c r="D147" s="91">
        <v>1</v>
      </c>
      <c r="E147" s="122">
        <f>E145*D147</f>
        <v>1</v>
      </c>
      <c r="F147" s="518"/>
      <c r="G147" s="509"/>
    </row>
    <row r="148" spans="1:7" ht="21.75" customHeight="1">
      <c r="A148" s="181"/>
      <c r="B148" s="91" t="s">
        <v>626</v>
      </c>
      <c r="C148" s="91" t="s">
        <v>53</v>
      </c>
      <c r="D148" s="91">
        <v>1</v>
      </c>
      <c r="E148" s="122">
        <f>D148*E145</f>
        <v>1</v>
      </c>
      <c r="F148" s="518"/>
      <c r="G148" s="509"/>
    </row>
    <row r="149" spans="1:7" ht="27" customHeight="1">
      <c r="A149" s="181"/>
      <c r="B149" s="91" t="s">
        <v>56</v>
      </c>
      <c r="C149" s="91" t="s">
        <v>54</v>
      </c>
      <c r="D149" s="113">
        <v>0.82</v>
      </c>
      <c r="E149" s="122">
        <f>E145*D149</f>
        <v>0.82</v>
      </c>
      <c r="F149" s="519"/>
      <c r="G149" s="509"/>
    </row>
    <row r="150" spans="1:7" ht="50.25" customHeight="1">
      <c r="A150" s="198" t="s">
        <v>430</v>
      </c>
      <c r="B150" s="133" t="s">
        <v>631</v>
      </c>
      <c r="C150" s="133" t="s">
        <v>52</v>
      </c>
      <c r="D150" s="133"/>
      <c r="E150" s="243">
        <v>0.8</v>
      </c>
      <c r="F150" s="510"/>
      <c r="G150" s="527"/>
    </row>
    <row r="151" spans="1:7" ht="26.25" customHeight="1">
      <c r="A151" s="181"/>
      <c r="B151" s="91" t="s">
        <v>627</v>
      </c>
      <c r="C151" s="91" t="s">
        <v>44</v>
      </c>
      <c r="D151" s="91">
        <f>1.15*5.07</f>
        <v>5.8305</v>
      </c>
      <c r="E151" s="86">
        <f>D151*E150</f>
        <v>4.6644</v>
      </c>
      <c r="F151" s="519"/>
      <c r="G151" s="522"/>
    </row>
    <row r="152" spans="1:7" ht="24.75" customHeight="1">
      <c r="A152" s="181"/>
      <c r="B152" s="91" t="s">
        <v>628</v>
      </c>
      <c r="C152" s="91" t="s">
        <v>54</v>
      </c>
      <c r="D152" s="91">
        <f>1.15*0.34</f>
        <v>0.391</v>
      </c>
      <c r="E152" s="86">
        <f>E150*D152</f>
        <v>0.3128</v>
      </c>
      <c r="F152" s="518"/>
      <c r="G152" s="522"/>
    </row>
    <row r="153" spans="1:7" ht="21.75" customHeight="1">
      <c r="A153" s="181"/>
      <c r="B153" s="91" t="s">
        <v>632</v>
      </c>
      <c r="C153" s="91" t="s">
        <v>52</v>
      </c>
      <c r="D153" s="91">
        <v>1.02</v>
      </c>
      <c r="E153" s="86">
        <f>D153*E150</f>
        <v>0.8160000000000001</v>
      </c>
      <c r="F153" s="518"/>
      <c r="G153" s="522"/>
    </row>
    <row r="154" spans="1:7" ht="25.5" customHeight="1">
      <c r="A154" s="181"/>
      <c r="B154" s="91" t="s">
        <v>630</v>
      </c>
      <c r="C154" s="91" t="s">
        <v>80</v>
      </c>
      <c r="D154" s="91">
        <v>1.17</v>
      </c>
      <c r="E154" s="86">
        <f>E150*D154</f>
        <v>0.9359999999999999</v>
      </c>
      <c r="F154" s="519"/>
      <c r="G154" s="522"/>
    </row>
    <row r="155" spans="1:7" ht="22.5" customHeight="1">
      <c r="A155" s="181"/>
      <c r="B155" s="91" t="s">
        <v>629</v>
      </c>
      <c r="C155" s="91" t="s">
        <v>52</v>
      </c>
      <c r="D155" s="91">
        <v>0.0125</v>
      </c>
      <c r="E155" s="86">
        <f>E150*D155</f>
        <v>0.010000000000000002</v>
      </c>
      <c r="F155" s="519"/>
      <c r="G155" s="522"/>
    </row>
    <row r="156" spans="1:7" ht="22.5" customHeight="1">
      <c r="A156" s="181"/>
      <c r="B156" s="91" t="s">
        <v>56</v>
      </c>
      <c r="C156" s="91" t="s">
        <v>54</v>
      </c>
      <c r="D156" s="91">
        <v>0.25</v>
      </c>
      <c r="E156" s="86">
        <f>D156*E150</f>
        <v>0.2</v>
      </c>
      <c r="F156" s="518"/>
      <c r="G156" s="522"/>
    </row>
    <row r="157" spans="1:7" ht="27.75" customHeight="1">
      <c r="A157" s="121"/>
      <c r="B157" s="133" t="s">
        <v>185</v>
      </c>
      <c r="C157" s="91" t="s">
        <v>54</v>
      </c>
      <c r="D157" s="91"/>
      <c r="E157" s="86"/>
      <c r="F157" s="516"/>
      <c r="G157" s="507"/>
    </row>
    <row r="158" spans="1:7" ht="26.25" customHeight="1">
      <c r="A158" s="121"/>
      <c r="B158" s="91" t="s">
        <v>43</v>
      </c>
      <c r="C158" s="91" t="s">
        <v>54</v>
      </c>
      <c r="D158" s="91"/>
      <c r="E158" s="130">
        <v>0.1</v>
      </c>
      <c r="F158" s="516"/>
      <c r="G158" s="517"/>
    </row>
    <row r="159" spans="1:7" ht="24" customHeight="1">
      <c r="A159" s="234"/>
      <c r="B159" s="133" t="s">
        <v>55</v>
      </c>
      <c r="C159" s="133" t="s">
        <v>54</v>
      </c>
      <c r="D159" s="133"/>
      <c r="E159" s="133"/>
      <c r="F159" s="510"/>
      <c r="G159" s="507"/>
    </row>
    <row r="160" spans="1:7" ht="21" customHeight="1">
      <c r="A160" s="121"/>
      <c r="B160" s="91" t="s">
        <v>69</v>
      </c>
      <c r="C160" s="91" t="s">
        <v>54</v>
      </c>
      <c r="D160" s="91"/>
      <c r="E160" s="130">
        <v>0.08</v>
      </c>
      <c r="F160" s="516"/>
      <c r="G160" s="517"/>
    </row>
    <row r="161" spans="1:7" ht="24.75" customHeight="1">
      <c r="A161" s="234"/>
      <c r="B161" s="133" t="s">
        <v>60</v>
      </c>
      <c r="C161" s="133" t="s">
        <v>54</v>
      </c>
      <c r="D161" s="133"/>
      <c r="E161" s="235"/>
      <c r="F161" s="510"/>
      <c r="G161" s="507"/>
    </row>
    <row r="162" spans="1:7" ht="8.25" customHeight="1">
      <c r="A162" s="136"/>
      <c r="B162" s="88"/>
      <c r="C162" s="77"/>
      <c r="D162" s="138"/>
      <c r="E162" s="138"/>
      <c r="F162" s="138"/>
      <c r="G162" s="94"/>
    </row>
    <row r="163" spans="1:7" ht="4.5" customHeight="1">
      <c r="A163" s="136"/>
      <c r="B163" s="88"/>
      <c r="C163" s="77"/>
      <c r="D163" s="138"/>
      <c r="E163" s="138"/>
      <c r="F163" s="138"/>
      <c r="G163" s="94"/>
    </row>
    <row r="164" spans="1:7" ht="21.75" customHeight="1">
      <c r="A164" s="136"/>
      <c r="B164" s="456" t="s">
        <v>886</v>
      </c>
      <c r="C164" s="456"/>
      <c r="D164" s="456"/>
      <c r="E164" s="456"/>
      <c r="F164" s="456"/>
      <c r="G164" s="456"/>
    </row>
    <row r="165" spans="1:7" ht="13.5">
      <c r="A165" s="139"/>
      <c r="B165" s="140"/>
      <c r="C165" s="467"/>
      <c r="D165" s="467"/>
      <c r="E165" s="467"/>
      <c r="F165" s="141"/>
      <c r="G165" s="142"/>
    </row>
    <row r="166" spans="1:7" ht="15">
      <c r="A166" s="143"/>
      <c r="B166" s="77"/>
      <c r="C166" s="77"/>
      <c r="D166" s="77"/>
      <c r="E166" s="77"/>
      <c r="F166" s="77"/>
      <c r="G166" s="94"/>
    </row>
    <row r="167" spans="1:7" ht="13.5">
      <c r="A167" s="177"/>
      <c r="B167" s="257"/>
      <c r="C167" s="257"/>
      <c r="D167" s="257"/>
      <c r="E167" s="258"/>
      <c r="F167" s="257"/>
      <c r="G167" s="252"/>
    </row>
    <row r="168" spans="1:7" ht="13.5">
      <c r="A168" s="177"/>
      <c r="B168" s="179"/>
      <c r="C168" s="179"/>
      <c r="D168" s="179"/>
      <c r="E168" s="269"/>
      <c r="F168" s="179"/>
      <c r="G168" s="252"/>
    </row>
    <row r="169" spans="1:7" ht="13.5">
      <c r="A169" s="253"/>
      <c r="B169" s="178"/>
      <c r="C169" s="178"/>
      <c r="D169" s="178"/>
      <c r="E169" s="261"/>
      <c r="F169" s="178"/>
      <c r="G169" s="272"/>
    </row>
    <row r="170" spans="1:7" ht="13.5">
      <c r="A170" s="177"/>
      <c r="B170" s="179"/>
      <c r="C170" s="179"/>
      <c r="D170" s="179"/>
      <c r="E170" s="270"/>
      <c r="F170" s="179"/>
      <c r="G170" s="264"/>
    </row>
    <row r="171" spans="1:7" ht="13.5">
      <c r="A171" s="177"/>
      <c r="B171" s="179"/>
      <c r="C171" s="179"/>
      <c r="D171" s="179"/>
      <c r="E171" s="260"/>
      <c r="F171" s="179"/>
      <c r="G171" s="266"/>
    </row>
    <row r="172" spans="1:7" ht="13.5">
      <c r="A172" s="177"/>
      <c r="B172" s="179"/>
      <c r="C172" s="179"/>
      <c r="D172" s="179"/>
      <c r="E172" s="260"/>
      <c r="F172" s="260"/>
      <c r="G172" s="252"/>
    </row>
    <row r="173" spans="1:7" ht="13.5">
      <c r="A173" s="177"/>
      <c r="B173" s="179"/>
      <c r="C173" s="179"/>
      <c r="D173" s="179"/>
      <c r="E173" s="260"/>
      <c r="F173" s="179"/>
      <c r="G173" s="266"/>
    </row>
    <row r="174" spans="1:7" ht="13.5">
      <c r="A174" s="177"/>
      <c r="B174" s="179"/>
      <c r="C174" s="179"/>
      <c r="D174" s="179"/>
      <c r="E174" s="260"/>
      <c r="F174" s="179"/>
      <c r="G174" s="266"/>
    </row>
    <row r="175" spans="1:7" ht="13.5">
      <c r="A175" s="177"/>
      <c r="B175" s="179"/>
      <c r="C175" s="179"/>
      <c r="D175" s="179"/>
      <c r="E175" s="262"/>
      <c r="F175" s="179"/>
      <c r="G175" s="266"/>
    </row>
    <row r="176" spans="1:7" ht="13.5">
      <c r="A176" s="177"/>
      <c r="B176" s="179"/>
      <c r="C176" s="179"/>
      <c r="D176" s="179"/>
      <c r="E176" s="260"/>
      <c r="F176" s="179"/>
      <c r="G176" s="266"/>
    </row>
    <row r="177" spans="1:7" ht="13.5">
      <c r="A177" s="180"/>
      <c r="B177" s="178"/>
      <c r="C177" s="178"/>
      <c r="D177" s="178"/>
      <c r="E177" s="268"/>
      <c r="F177" s="178"/>
      <c r="G177" s="256"/>
    </row>
    <row r="178" spans="1:7" ht="13.5">
      <c r="A178" s="177"/>
      <c r="B178" s="179"/>
      <c r="C178" s="179"/>
      <c r="D178" s="179"/>
      <c r="E178" s="269"/>
      <c r="F178" s="179"/>
      <c r="G178" s="252"/>
    </row>
    <row r="179" spans="1:7" ht="13.5">
      <c r="A179" s="177"/>
      <c r="B179" s="179"/>
      <c r="C179" s="179"/>
      <c r="D179" s="179"/>
      <c r="E179" s="269"/>
      <c r="F179" s="179"/>
      <c r="G179" s="252"/>
    </row>
    <row r="180" spans="1:7" ht="13.5">
      <c r="A180" s="177"/>
      <c r="B180" s="179"/>
      <c r="C180" s="179"/>
      <c r="D180" s="179"/>
      <c r="E180" s="269"/>
      <c r="F180" s="179"/>
      <c r="G180" s="252"/>
    </row>
    <row r="181" spans="1:7" ht="13.5">
      <c r="A181" s="180"/>
      <c r="B181" s="178"/>
      <c r="C181" s="178"/>
      <c r="D181" s="178"/>
      <c r="E181" s="261"/>
      <c r="F181" s="178"/>
      <c r="G181" s="272"/>
    </row>
    <row r="182" spans="1:7" ht="13.5">
      <c r="A182" s="177"/>
      <c r="B182" s="179"/>
      <c r="C182" s="179"/>
      <c r="D182" s="179"/>
      <c r="E182" s="270"/>
      <c r="F182" s="179"/>
      <c r="G182" s="264"/>
    </row>
    <row r="183" spans="1:7" ht="13.5">
      <c r="A183" s="177"/>
      <c r="B183" s="179"/>
      <c r="C183" s="179"/>
      <c r="D183" s="179"/>
      <c r="E183" s="260"/>
      <c r="F183" s="179"/>
      <c r="G183" s="266"/>
    </row>
    <row r="184" spans="1:7" ht="13.5">
      <c r="A184" s="139"/>
      <c r="B184" s="179"/>
      <c r="C184" s="179"/>
      <c r="D184" s="179"/>
      <c r="E184" s="260"/>
      <c r="F184" s="179"/>
      <c r="G184" s="266"/>
    </row>
    <row r="185" spans="1:7" ht="13.5">
      <c r="A185" s="177"/>
      <c r="B185" s="179"/>
      <c r="C185" s="179"/>
      <c r="D185" s="179"/>
      <c r="E185" s="260"/>
      <c r="F185" s="260"/>
      <c r="G185" s="252"/>
    </row>
    <row r="186" spans="1:7" ht="13.5">
      <c r="A186" s="177"/>
      <c r="B186" s="179"/>
      <c r="C186" s="179"/>
      <c r="D186" s="179"/>
      <c r="E186" s="260"/>
      <c r="F186" s="179"/>
      <c r="G186" s="266"/>
    </row>
    <row r="187" spans="1:7" ht="13.5">
      <c r="A187" s="177"/>
      <c r="B187" s="179"/>
      <c r="C187" s="179"/>
      <c r="D187" s="179"/>
      <c r="E187" s="260"/>
      <c r="F187" s="179"/>
      <c r="G187" s="266"/>
    </row>
    <row r="188" spans="1:7" ht="13.5">
      <c r="A188" s="177"/>
      <c r="B188" s="179"/>
      <c r="C188" s="179"/>
      <c r="D188" s="179"/>
      <c r="E188" s="262"/>
      <c r="F188" s="179"/>
      <c r="G188" s="266"/>
    </row>
    <row r="189" spans="1:7" ht="13.5">
      <c r="A189" s="177"/>
      <c r="B189" s="179"/>
      <c r="C189" s="179"/>
      <c r="D189" s="179"/>
      <c r="E189" s="260"/>
      <c r="F189" s="179"/>
      <c r="G189" s="266"/>
    </row>
    <row r="190" spans="1:7" ht="13.5">
      <c r="A190" s="180"/>
      <c r="B190" s="178"/>
      <c r="C190" s="178"/>
      <c r="D190" s="178"/>
      <c r="E190" s="268"/>
      <c r="F190" s="178"/>
      <c r="G190" s="256"/>
    </row>
    <row r="191" spans="1:7" ht="13.5">
      <c r="A191" s="177"/>
      <c r="B191" s="179"/>
      <c r="C191" s="179"/>
      <c r="D191" s="179"/>
      <c r="E191" s="269"/>
      <c r="F191" s="179"/>
      <c r="G191" s="252"/>
    </row>
    <row r="192" spans="1:7" ht="13.5">
      <c r="A192" s="177"/>
      <c r="B192" s="179"/>
      <c r="C192" s="179"/>
      <c r="D192" s="179"/>
      <c r="E192" s="269"/>
      <c r="F192" s="179"/>
      <c r="G192" s="252"/>
    </row>
    <row r="193" spans="1:7" ht="13.5">
      <c r="A193" s="177"/>
      <c r="B193" s="179"/>
      <c r="C193" s="179"/>
      <c r="D193" s="179"/>
      <c r="E193" s="269"/>
      <c r="F193" s="179"/>
      <c r="G193" s="252"/>
    </row>
    <row r="194" spans="1:7" ht="13.5">
      <c r="A194" s="180"/>
      <c r="B194" s="178"/>
      <c r="C194" s="178"/>
      <c r="D194" s="178"/>
      <c r="E194" s="261"/>
      <c r="F194" s="178"/>
      <c r="G194" s="256"/>
    </row>
    <row r="195" spans="1:7" ht="13.5">
      <c r="A195" s="177"/>
      <c r="B195" s="179"/>
      <c r="C195" s="179"/>
      <c r="D195" s="179"/>
      <c r="E195" s="270"/>
      <c r="F195" s="275"/>
      <c r="G195" s="252"/>
    </row>
    <row r="196" spans="1:7" ht="13.5">
      <c r="A196" s="180"/>
      <c r="B196" s="178"/>
      <c r="C196" s="178"/>
      <c r="D196" s="178"/>
      <c r="E196" s="261"/>
      <c r="F196" s="178"/>
      <c r="G196" s="256"/>
    </row>
    <row r="197" spans="1:7" ht="13.5">
      <c r="A197" s="177"/>
      <c r="B197" s="179"/>
      <c r="C197" s="179"/>
      <c r="D197" s="179"/>
      <c r="E197" s="270"/>
      <c r="F197" s="179"/>
      <c r="G197" s="252"/>
    </row>
    <row r="198" spans="1:7" ht="13.5">
      <c r="A198" s="180"/>
      <c r="B198" s="178"/>
      <c r="C198" s="178"/>
      <c r="D198" s="178"/>
      <c r="E198" s="261"/>
      <c r="F198" s="178"/>
      <c r="G198" s="256"/>
    </row>
    <row r="199" spans="1:7" ht="13.5">
      <c r="A199" s="177"/>
      <c r="B199" s="179"/>
      <c r="C199" s="179"/>
      <c r="D199" s="179"/>
      <c r="E199" s="270"/>
      <c r="F199" s="179"/>
      <c r="G199" s="252"/>
    </row>
    <row r="200" spans="1:7" ht="13.5">
      <c r="A200" s="180"/>
      <c r="B200" s="178"/>
      <c r="C200" s="178"/>
      <c r="D200" s="178"/>
      <c r="E200" s="261"/>
      <c r="F200" s="178"/>
      <c r="G200" s="256"/>
    </row>
    <row r="201" spans="1:7" ht="13.5">
      <c r="A201" s="177"/>
      <c r="B201" s="179"/>
      <c r="C201" s="179"/>
      <c r="D201" s="179"/>
      <c r="E201" s="270"/>
      <c r="F201" s="179"/>
      <c r="G201" s="252"/>
    </row>
    <row r="202" spans="1:7" ht="13.5">
      <c r="A202" s="180"/>
      <c r="B202" s="178"/>
      <c r="C202" s="178"/>
      <c r="D202" s="178"/>
      <c r="E202" s="261"/>
      <c r="F202" s="178"/>
      <c r="G202" s="256"/>
    </row>
    <row r="203" spans="1:7" ht="13.5">
      <c r="A203" s="177"/>
      <c r="B203" s="179"/>
      <c r="C203" s="179"/>
      <c r="D203" s="179"/>
      <c r="E203" s="270"/>
      <c r="F203" s="179"/>
      <c r="G203" s="252"/>
    </row>
    <row r="204" spans="1:7" ht="13.5">
      <c r="A204" s="180"/>
      <c r="B204" s="178"/>
      <c r="C204" s="178"/>
      <c r="D204" s="178"/>
      <c r="E204" s="261"/>
      <c r="F204" s="178"/>
      <c r="G204" s="256"/>
    </row>
    <row r="205" spans="1:7" ht="13.5">
      <c r="A205" s="177"/>
      <c r="B205" s="179"/>
      <c r="C205" s="179"/>
      <c r="D205" s="179"/>
      <c r="E205" s="270"/>
      <c r="F205" s="179"/>
      <c r="G205" s="252"/>
    </row>
    <row r="206" spans="1:7" ht="13.5">
      <c r="A206" s="180"/>
      <c r="B206" s="178"/>
      <c r="C206" s="178"/>
      <c r="D206" s="178"/>
      <c r="E206" s="261"/>
      <c r="F206" s="178"/>
      <c r="G206" s="256"/>
    </row>
    <row r="207" spans="1:7" ht="13.5">
      <c r="A207" s="177"/>
      <c r="B207" s="179"/>
      <c r="C207" s="179"/>
      <c r="D207" s="179"/>
      <c r="E207" s="270"/>
      <c r="F207" s="179"/>
      <c r="G207" s="252"/>
    </row>
    <row r="208" spans="1:7" ht="13.5">
      <c r="A208" s="253"/>
      <c r="B208" s="178"/>
      <c r="C208" s="178"/>
      <c r="D208" s="178"/>
      <c r="E208" s="180"/>
      <c r="F208" s="178"/>
      <c r="G208" s="256"/>
    </row>
    <row r="209" spans="1:7" ht="13.5">
      <c r="A209" s="177"/>
      <c r="B209" s="179"/>
      <c r="C209" s="179"/>
      <c r="D209" s="179"/>
      <c r="E209" s="276"/>
      <c r="F209" s="179"/>
      <c r="G209" s="252"/>
    </row>
    <row r="210" spans="1:7" ht="13.5">
      <c r="A210" s="180"/>
      <c r="B210" s="178"/>
      <c r="C210" s="178"/>
      <c r="D210" s="178"/>
      <c r="E210" s="261"/>
      <c r="F210" s="178"/>
      <c r="G210" s="256"/>
    </row>
    <row r="211" spans="1:7" ht="13.5">
      <c r="A211" s="177"/>
      <c r="B211" s="179"/>
      <c r="C211" s="179"/>
      <c r="D211" s="179"/>
      <c r="E211" s="270"/>
      <c r="F211" s="179"/>
      <c r="G211" s="252"/>
    </row>
    <row r="212" spans="1:7" ht="13.5">
      <c r="A212" s="253"/>
      <c r="B212" s="255"/>
      <c r="C212" s="255"/>
      <c r="D212" s="255"/>
      <c r="E212" s="277"/>
      <c r="F212" s="255"/>
      <c r="G212" s="256"/>
    </row>
    <row r="213" spans="1:7" ht="13.5">
      <c r="A213" s="177"/>
      <c r="B213" s="257"/>
      <c r="C213" s="257"/>
      <c r="D213" s="257"/>
      <c r="E213" s="278"/>
      <c r="F213" s="257"/>
      <c r="G213" s="274"/>
    </row>
    <row r="214" spans="1:7" ht="13.5">
      <c r="A214" s="253"/>
      <c r="B214" s="178"/>
      <c r="C214" s="178"/>
      <c r="D214" s="178"/>
      <c r="E214" s="261"/>
      <c r="F214" s="178"/>
      <c r="G214" s="256"/>
    </row>
    <row r="215" spans="1:7" ht="13.5">
      <c r="A215" s="177"/>
      <c r="B215" s="179"/>
      <c r="C215" s="179"/>
      <c r="D215" s="179"/>
      <c r="E215" s="260"/>
      <c r="F215" s="179"/>
      <c r="G215" s="259"/>
    </row>
    <row r="216" spans="1:7" ht="13.5">
      <c r="A216" s="177"/>
      <c r="B216" s="179"/>
      <c r="C216" s="179"/>
      <c r="D216" s="179"/>
      <c r="E216" s="260"/>
      <c r="F216" s="179"/>
      <c r="G216" s="252"/>
    </row>
    <row r="217" spans="1:7" ht="13.5">
      <c r="A217" s="177"/>
      <c r="B217" s="179"/>
      <c r="C217" s="179"/>
      <c r="D217" s="179"/>
      <c r="E217" s="260"/>
      <c r="F217" s="179"/>
      <c r="G217" s="252"/>
    </row>
    <row r="218" spans="1:7" ht="13.5">
      <c r="A218" s="253"/>
      <c r="B218" s="178"/>
      <c r="C218" s="178"/>
      <c r="D218" s="178"/>
      <c r="E218" s="261"/>
      <c r="F218" s="178"/>
      <c r="G218" s="256"/>
    </row>
    <row r="219" spans="1:7" ht="13.5">
      <c r="A219" s="177"/>
      <c r="B219" s="179"/>
      <c r="C219" s="179"/>
      <c r="D219" s="179"/>
      <c r="E219" s="260"/>
      <c r="F219" s="179"/>
      <c r="G219" s="259"/>
    </row>
    <row r="220" spans="1:7" ht="13.5">
      <c r="A220" s="177"/>
      <c r="B220" s="179"/>
      <c r="C220" s="179"/>
      <c r="D220" s="179"/>
      <c r="E220" s="260"/>
      <c r="F220" s="179"/>
      <c r="G220" s="252"/>
    </row>
    <row r="221" spans="1:7" ht="13.5">
      <c r="A221" s="177"/>
      <c r="B221" s="179"/>
      <c r="C221" s="179"/>
      <c r="D221" s="262"/>
      <c r="E221" s="260"/>
      <c r="F221" s="257"/>
      <c r="G221" s="252"/>
    </row>
    <row r="222" spans="1:7" ht="13.5">
      <c r="A222" s="177"/>
      <c r="B222" s="179"/>
      <c r="C222" s="179"/>
      <c r="D222" s="179"/>
      <c r="E222" s="260"/>
      <c r="F222" s="179"/>
      <c r="G222" s="252"/>
    </row>
    <row r="223" spans="1:7" ht="13.5">
      <c r="A223" s="177"/>
      <c r="B223" s="179"/>
      <c r="C223" s="179"/>
      <c r="D223" s="179"/>
      <c r="E223" s="260"/>
      <c r="F223" s="179"/>
      <c r="G223" s="252"/>
    </row>
    <row r="224" spans="1:7" ht="13.5">
      <c r="A224" s="180"/>
      <c r="B224" s="178"/>
      <c r="C224" s="178"/>
      <c r="D224" s="178"/>
      <c r="E224" s="261"/>
      <c r="F224" s="178"/>
      <c r="G224" s="256"/>
    </row>
    <row r="225" spans="1:7" ht="13.5">
      <c r="A225" s="177"/>
      <c r="B225" s="179"/>
      <c r="C225" s="179"/>
      <c r="D225" s="179"/>
      <c r="E225" s="270"/>
      <c r="F225" s="179"/>
      <c r="G225" s="252"/>
    </row>
    <row r="226" spans="1:7" ht="13.5">
      <c r="A226" s="180"/>
      <c r="B226" s="178"/>
      <c r="C226" s="178"/>
      <c r="D226" s="178"/>
      <c r="E226" s="261"/>
      <c r="F226" s="178"/>
      <c r="G226" s="256"/>
    </row>
    <row r="227" spans="1:7" ht="13.5">
      <c r="A227" s="177"/>
      <c r="B227" s="179"/>
      <c r="C227" s="179"/>
      <c r="D227" s="179"/>
      <c r="E227" s="270"/>
      <c r="F227" s="179"/>
      <c r="G227" s="252"/>
    </row>
    <row r="228" spans="1:7" ht="13.5">
      <c r="A228" s="253"/>
      <c r="B228" s="178"/>
      <c r="C228" s="178"/>
      <c r="D228" s="178"/>
      <c r="E228" s="261"/>
      <c r="F228" s="178"/>
      <c r="G228" s="256"/>
    </row>
    <row r="229" spans="1:7" ht="13.5">
      <c r="A229" s="177"/>
      <c r="B229" s="179"/>
      <c r="C229" s="179"/>
      <c r="D229" s="179"/>
      <c r="E229" s="260"/>
      <c r="F229" s="179"/>
      <c r="G229" s="259"/>
    </row>
    <row r="230" spans="1:7" ht="13.5">
      <c r="A230" s="177"/>
      <c r="B230" s="179"/>
      <c r="C230" s="179"/>
      <c r="D230" s="179"/>
      <c r="E230" s="263"/>
      <c r="F230" s="265"/>
      <c r="G230" s="266"/>
    </row>
    <row r="231" spans="1:7" ht="13.5">
      <c r="A231" s="177"/>
      <c r="B231" s="179"/>
      <c r="C231" s="179"/>
      <c r="D231" s="179"/>
      <c r="E231" s="279"/>
      <c r="F231" s="179"/>
      <c r="G231" s="266"/>
    </row>
    <row r="232" spans="1:7" ht="13.5">
      <c r="A232" s="177"/>
      <c r="B232" s="179"/>
      <c r="C232" s="179"/>
      <c r="D232" s="179"/>
      <c r="E232" s="279"/>
      <c r="F232" s="179"/>
      <c r="G232" s="266"/>
    </row>
    <row r="233" spans="1:7" ht="13.5">
      <c r="A233" s="177"/>
      <c r="B233" s="179"/>
      <c r="C233" s="179"/>
      <c r="D233" s="179"/>
      <c r="E233" s="263"/>
      <c r="F233" s="179"/>
      <c r="G233" s="266"/>
    </row>
    <row r="234" spans="1:7" ht="13.5">
      <c r="A234" s="177"/>
      <c r="B234" s="179"/>
      <c r="C234" s="179"/>
      <c r="D234" s="179"/>
      <c r="E234" s="263"/>
      <c r="F234" s="265"/>
      <c r="G234" s="266"/>
    </row>
    <row r="235" spans="1:7" ht="13.5">
      <c r="A235" s="253"/>
      <c r="B235" s="178"/>
      <c r="C235" s="280"/>
      <c r="D235" s="178"/>
      <c r="E235" s="261"/>
      <c r="F235" s="178"/>
      <c r="G235" s="256"/>
    </row>
    <row r="236" spans="1:7" ht="13.5">
      <c r="A236" s="139"/>
      <c r="B236" s="179"/>
      <c r="C236" s="179"/>
      <c r="D236" s="179"/>
      <c r="E236" s="258"/>
      <c r="F236" s="179"/>
      <c r="G236" s="259"/>
    </row>
    <row r="237" spans="1:7" ht="13.5">
      <c r="A237" s="139"/>
      <c r="B237" s="179"/>
      <c r="C237" s="179"/>
      <c r="D237" s="179"/>
      <c r="E237" s="260"/>
      <c r="F237" s="179"/>
      <c r="G237" s="252"/>
    </row>
    <row r="238" spans="1:7" ht="13.5">
      <c r="A238" s="139"/>
      <c r="B238" s="179"/>
      <c r="C238" s="179"/>
      <c r="D238" s="179"/>
      <c r="E238" s="260"/>
      <c r="F238" s="179"/>
      <c r="G238" s="252"/>
    </row>
    <row r="239" spans="1:7" ht="13.5">
      <c r="A239" s="139"/>
      <c r="B239" s="179"/>
      <c r="C239" s="179"/>
      <c r="D239" s="179"/>
      <c r="E239" s="260"/>
      <c r="F239" s="179"/>
      <c r="G239" s="252"/>
    </row>
    <row r="240" spans="1:7" ht="13.5">
      <c r="A240" s="253"/>
      <c r="B240" s="178"/>
      <c r="C240" s="178"/>
      <c r="D240" s="178"/>
      <c r="E240" s="261"/>
      <c r="F240" s="178"/>
      <c r="G240" s="256"/>
    </row>
    <row r="241" spans="1:7" ht="13.5">
      <c r="A241" s="177"/>
      <c r="B241" s="179"/>
      <c r="C241" s="179"/>
      <c r="D241" s="179"/>
      <c r="E241" s="260"/>
      <c r="F241" s="179"/>
      <c r="G241" s="259"/>
    </row>
    <row r="242" spans="1:7" ht="13.5">
      <c r="A242" s="177"/>
      <c r="B242" s="179"/>
      <c r="C242" s="179"/>
      <c r="D242" s="179"/>
      <c r="E242" s="260"/>
      <c r="F242" s="179"/>
      <c r="G242" s="252"/>
    </row>
    <row r="243" spans="1:7" ht="13.5">
      <c r="A243" s="177"/>
      <c r="B243" s="179"/>
      <c r="C243" s="179"/>
      <c r="D243" s="179"/>
      <c r="E243" s="260"/>
      <c r="F243" s="179"/>
      <c r="G243" s="252"/>
    </row>
    <row r="244" spans="1:7" ht="13.5">
      <c r="A244" s="177"/>
      <c r="B244" s="179"/>
      <c r="C244" s="179"/>
      <c r="D244" s="179"/>
      <c r="E244" s="260"/>
      <c r="F244" s="179"/>
      <c r="G244" s="252"/>
    </row>
    <row r="245" spans="1:7" ht="13.5">
      <c r="A245" s="253"/>
      <c r="B245" s="178"/>
      <c r="C245" s="178"/>
      <c r="D245" s="178"/>
      <c r="E245" s="261"/>
      <c r="F245" s="178"/>
      <c r="G245" s="256"/>
    </row>
    <row r="246" spans="1:7" ht="13.5">
      <c r="A246" s="177"/>
      <c r="B246" s="179"/>
      <c r="C246" s="179"/>
      <c r="D246" s="179"/>
      <c r="E246" s="260"/>
      <c r="F246" s="179"/>
      <c r="G246" s="259"/>
    </row>
    <row r="247" spans="1:7" ht="13.5">
      <c r="A247" s="177"/>
      <c r="B247" s="179"/>
      <c r="C247" s="179"/>
      <c r="D247" s="269"/>
      <c r="E247" s="260"/>
      <c r="F247" s="179"/>
      <c r="G247" s="252"/>
    </row>
    <row r="248" spans="1:7" ht="13.5">
      <c r="A248" s="177"/>
      <c r="B248" s="179"/>
      <c r="C248" s="179"/>
      <c r="D248" s="269"/>
      <c r="E248" s="260"/>
      <c r="F248" s="179"/>
      <c r="G248" s="252"/>
    </row>
    <row r="249" spans="1:7" ht="13.5">
      <c r="A249" s="177"/>
      <c r="B249" s="179"/>
      <c r="C249" s="179"/>
      <c r="D249" s="179"/>
      <c r="E249" s="260"/>
      <c r="F249" s="179"/>
      <c r="G249" s="252"/>
    </row>
    <row r="250" spans="1:7" ht="13.5">
      <c r="A250" s="177"/>
      <c r="B250" s="179"/>
      <c r="C250" s="179"/>
      <c r="D250" s="269"/>
      <c r="E250" s="260"/>
      <c r="F250" s="179"/>
      <c r="G250" s="252"/>
    </row>
    <row r="251" spans="1:7" ht="13.5">
      <c r="A251" s="253"/>
      <c r="B251" s="178"/>
      <c r="C251" s="178"/>
      <c r="D251" s="178"/>
      <c r="E251" s="261"/>
      <c r="F251" s="178"/>
      <c r="G251" s="256"/>
    </row>
    <row r="252" spans="1:7" ht="13.5">
      <c r="A252" s="177"/>
      <c r="B252" s="179"/>
      <c r="C252" s="179"/>
      <c r="D252" s="179"/>
      <c r="E252" s="260"/>
      <c r="F252" s="179"/>
      <c r="G252" s="259"/>
    </row>
    <row r="253" spans="1:7" ht="13.5">
      <c r="A253" s="177"/>
      <c r="B253" s="179"/>
      <c r="C253" s="179"/>
      <c r="D253" s="271"/>
      <c r="E253" s="260"/>
      <c r="F253" s="179"/>
      <c r="G253" s="252"/>
    </row>
    <row r="254" spans="1:7" ht="13.5">
      <c r="A254" s="177"/>
      <c r="B254" s="179"/>
      <c r="C254" s="179"/>
      <c r="D254" s="269"/>
      <c r="E254" s="260"/>
      <c r="F254" s="179"/>
      <c r="G254" s="252"/>
    </row>
    <row r="255" spans="1:7" ht="13.5">
      <c r="A255" s="177"/>
      <c r="B255" s="179"/>
      <c r="C255" s="179"/>
      <c r="D255" s="269"/>
      <c r="E255" s="260"/>
      <c r="F255" s="179"/>
      <c r="G255" s="252"/>
    </row>
    <row r="256" spans="1:7" ht="13.5">
      <c r="A256" s="180"/>
      <c r="B256" s="178"/>
      <c r="C256" s="280"/>
      <c r="D256" s="178"/>
      <c r="E256" s="261"/>
      <c r="F256" s="178"/>
      <c r="G256" s="256"/>
    </row>
    <row r="257" spans="1:7" ht="13.5">
      <c r="A257" s="177"/>
      <c r="B257" s="179"/>
      <c r="C257" s="179"/>
      <c r="D257" s="179"/>
      <c r="E257" s="260"/>
      <c r="F257" s="179"/>
      <c r="G257" s="259"/>
    </row>
    <row r="258" spans="1:7" ht="13.5">
      <c r="A258" s="177"/>
      <c r="B258" s="179"/>
      <c r="C258" s="179"/>
      <c r="D258" s="179"/>
      <c r="E258" s="260"/>
      <c r="F258" s="179"/>
      <c r="G258" s="252"/>
    </row>
    <row r="259" spans="1:7" ht="13.5">
      <c r="A259" s="177"/>
      <c r="B259" s="179"/>
      <c r="C259" s="179"/>
      <c r="D259" s="179"/>
      <c r="E259" s="260"/>
      <c r="F259" s="179"/>
      <c r="G259" s="252"/>
    </row>
    <row r="260" spans="1:7" ht="13.5">
      <c r="A260" s="177"/>
      <c r="B260" s="179"/>
      <c r="C260" s="179"/>
      <c r="D260" s="179"/>
      <c r="E260" s="260"/>
      <c r="F260" s="179"/>
      <c r="G260" s="252"/>
    </row>
    <row r="261" spans="1:7" ht="13.5">
      <c r="A261" s="177"/>
      <c r="B261" s="179"/>
      <c r="C261" s="179"/>
      <c r="D261" s="179"/>
      <c r="E261" s="260"/>
      <c r="F261" s="179"/>
      <c r="G261" s="252"/>
    </row>
    <row r="262" spans="1:7" ht="13.5">
      <c r="A262" s="253"/>
      <c r="B262" s="178"/>
      <c r="C262" s="178"/>
      <c r="D262" s="178"/>
      <c r="E262" s="261"/>
      <c r="F262" s="178"/>
      <c r="G262" s="256"/>
    </row>
    <row r="263" spans="1:7" ht="13.5">
      <c r="A263" s="177"/>
      <c r="B263" s="179"/>
      <c r="C263" s="179"/>
      <c r="D263" s="179"/>
      <c r="E263" s="260"/>
      <c r="F263" s="179"/>
      <c r="G263" s="259"/>
    </row>
    <row r="264" spans="1:7" ht="13.5">
      <c r="A264" s="177"/>
      <c r="B264" s="179"/>
      <c r="C264" s="179"/>
      <c r="D264" s="271"/>
      <c r="E264" s="260"/>
      <c r="F264" s="179"/>
      <c r="G264" s="252"/>
    </row>
    <row r="265" spans="1:7" ht="13.5">
      <c r="A265" s="177"/>
      <c r="B265" s="179"/>
      <c r="C265" s="179"/>
      <c r="D265" s="269"/>
      <c r="E265" s="260"/>
      <c r="F265" s="179"/>
      <c r="G265" s="252"/>
    </row>
    <row r="266" spans="1:7" ht="13.5">
      <c r="A266" s="177"/>
      <c r="B266" s="179"/>
      <c r="C266" s="179"/>
      <c r="D266" s="269"/>
      <c r="E266" s="260"/>
      <c r="F266" s="179"/>
      <c r="G266" s="252"/>
    </row>
    <row r="267" spans="1:7" ht="13.5">
      <c r="A267" s="253"/>
      <c r="B267" s="178"/>
      <c r="C267" s="178"/>
      <c r="D267" s="178"/>
      <c r="E267" s="267"/>
      <c r="F267" s="178"/>
      <c r="G267" s="230"/>
    </row>
    <row r="268" spans="1:7" ht="13.5">
      <c r="A268" s="139"/>
      <c r="B268" s="179"/>
      <c r="C268" s="179"/>
      <c r="D268" s="179"/>
      <c r="E268" s="260"/>
      <c r="F268" s="179"/>
      <c r="G268" s="281"/>
    </row>
    <row r="269" spans="1:7" ht="13.5">
      <c r="A269" s="139"/>
      <c r="B269" s="179"/>
      <c r="C269" s="179"/>
      <c r="D269" s="179"/>
      <c r="E269" s="260"/>
      <c r="F269" s="179"/>
      <c r="G269" s="266"/>
    </row>
    <row r="270" spans="1:7" ht="13.5">
      <c r="A270" s="139"/>
      <c r="B270" s="179"/>
      <c r="C270" s="179"/>
      <c r="D270" s="179"/>
      <c r="E270" s="260"/>
      <c r="F270" s="179"/>
      <c r="G270" s="266"/>
    </row>
    <row r="271" spans="1:7" ht="13.5">
      <c r="A271" s="139"/>
      <c r="B271" s="179"/>
      <c r="C271" s="179"/>
      <c r="D271" s="179"/>
      <c r="E271" s="260"/>
      <c r="F271" s="179"/>
      <c r="G271" s="266"/>
    </row>
    <row r="272" spans="1:7" ht="13.5">
      <c r="A272" s="253"/>
      <c r="B272" s="255"/>
      <c r="C272" s="178"/>
      <c r="D272" s="178"/>
      <c r="E272" s="267"/>
      <c r="F272" s="178"/>
      <c r="G272" s="230"/>
    </row>
    <row r="273" spans="1:7" ht="13.5">
      <c r="A273" s="139"/>
      <c r="B273" s="179"/>
      <c r="C273" s="179"/>
      <c r="D273" s="179"/>
      <c r="E273" s="260"/>
      <c r="F273" s="179"/>
      <c r="G273" s="281"/>
    </row>
    <row r="274" spans="1:7" ht="13.5">
      <c r="A274" s="139"/>
      <c r="B274" s="179"/>
      <c r="C274" s="179"/>
      <c r="D274" s="179"/>
      <c r="E274" s="260"/>
      <c r="F274" s="179"/>
      <c r="G274" s="266"/>
    </row>
    <row r="275" spans="1:7" ht="13.5">
      <c r="A275" s="139"/>
      <c r="B275" s="179"/>
      <c r="C275" s="179"/>
      <c r="D275" s="179"/>
      <c r="E275" s="260"/>
      <c r="F275" s="179"/>
      <c r="G275" s="266"/>
    </row>
    <row r="276" spans="1:7" ht="13.5">
      <c r="A276" s="139"/>
      <c r="B276" s="179"/>
      <c r="C276" s="179"/>
      <c r="D276" s="179"/>
      <c r="E276" s="260"/>
      <c r="F276" s="179"/>
      <c r="G276" s="266"/>
    </row>
    <row r="277" spans="1:7" ht="13.5">
      <c r="A277" s="282"/>
      <c r="B277" s="255"/>
      <c r="C277" s="283"/>
      <c r="D277" s="255"/>
      <c r="E277" s="261"/>
      <c r="F277" s="255"/>
      <c r="G277" s="284"/>
    </row>
    <row r="278" spans="1:7" ht="13.5">
      <c r="A278" s="285"/>
      <c r="B278" s="257"/>
      <c r="C278" s="257"/>
      <c r="D278" s="257"/>
      <c r="E278" s="258"/>
      <c r="F278" s="179"/>
      <c r="G278" s="264"/>
    </row>
    <row r="279" spans="1:7" ht="13.5">
      <c r="A279" s="285"/>
      <c r="B279" s="257"/>
      <c r="C279" s="257"/>
      <c r="D279" s="257"/>
      <c r="E279" s="258"/>
      <c r="F279" s="179"/>
      <c r="G279" s="266"/>
    </row>
    <row r="280" spans="1:7" ht="13.5">
      <c r="A280" s="285"/>
      <c r="B280" s="179"/>
      <c r="C280" s="179"/>
      <c r="D280" s="179"/>
      <c r="E280" s="260"/>
      <c r="F280" s="179"/>
      <c r="G280" s="266"/>
    </row>
    <row r="281" spans="1:7" ht="13.5">
      <c r="A281" s="285"/>
      <c r="B281" s="257"/>
      <c r="C281" s="257"/>
      <c r="D281" s="257"/>
      <c r="E281" s="258"/>
      <c r="F281" s="179"/>
      <c r="G281" s="266"/>
    </row>
    <row r="282" spans="1:7" ht="13.5">
      <c r="A282" s="253"/>
      <c r="B282" s="178"/>
      <c r="C282" s="178"/>
      <c r="D282" s="178"/>
      <c r="E282" s="261"/>
      <c r="F282" s="178"/>
      <c r="G282" s="256"/>
    </row>
    <row r="283" spans="1:7" ht="13.5">
      <c r="A283" s="139"/>
      <c r="B283" s="179"/>
      <c r="C283" s="179"/>
      <c r="D283" s="179"/>
      <c r="E283" s="260"/>
      <c r="F283" s="179"/>
      <c r="G283" s="259"/>
    </row>
    <row r="284" spans="1:7" ht="13.5">
      <c r="A284" s="139"/>
      <c r="B284" s="179"/>
      <c r="C284" s="179"/>
      <c r="D284" s="179"/>
      <c r="E284" s="260"/>
      <c r="F284" s="179"/>
      <c r="G284" s="252"/>
    </row>
    <row r="285" spans="1:7" ht="13.5">
      <c r="A285" s="139"/>
      <c r="B285" s="179"/>
      <c r="C285" s="179"/>
      <c r="D285" s="179"/>
      <c r="E285" s="260"/>
      <c r="F285" s="179"/>
      <c r="G285" s="286"/>
    </row>
    <row r="286" spans="1:7" ht="13.5">
      <c r="A286" s="139"/>
      <c r="B286" s="179"/>
      <c r="C286" s="179"/>
      <c r="D286" s="179"/>
      <c r="E286" s="260"/>
      <c r="F286" s="179"/>
      <c r="G286" s="286"/>
    </row>
    <row r="287" spans="1:7" ht="13.5">
      <c r="A287" s="253"/>
      <c r="B287" s="178"/>
      <c r="C287" s="280"/>
      <c r="D287" s="178"/>
      <c r="E287" s="261"/>
      <c r="F287" s="178"/>
      <c r="G287" s="256"/>
    </row>
    <row r="288" spans="1:7" ht="13.5">
      <c r="A288" s="139"/>
      <c r="B288" s="179"/>
      <c r="C288" s="179"/>
      <c r="D288" s="262"/>
      <c r="E288" s="260"/>
      <c r="F288" s="179"/>
      <c r="G288" s="259"/>
    </row>
    <row r="289" spans="1:7" ht="13.5">
      <c r="A289" s="139"/>
      <c r="B289" s="179"/>
      <c r="C289" s="179"/>
      <c r="D289" s="262"/>
      <c r="E289" s="260"/>
      <c r="F289" s="179"/>
      <c r="G289" s="286"/>
    </row>
    <row r="290" spans="1:7" ht="13.5">
      <c r="A290" s="139"/>
      <c r="B290" s="179"/>
      <c r="C290" s="179"/>
      <c r="D290" s="260"/>
      <c r="E290" s="260"/>
      <c r="F290" s="179"/>
      <c r="G290" s="286"/>
    </row>
    <row r="291" spans="1:7" ht="13.5">
      <c r="A291" s="139"/>
      <c r="B291" s="179"/>
      <c r="C291" s="179"/>
      <c r="D291" s="260"/>
      <c r="E291" s="260"/>
      <c r="F291" s="179"/>
      <c r="G291" s="286"/>
    </row>
    <row r="292" spans="1:7" ht="13.5">
      <c r="A292" s="253"/>
      <c r="B292" s="178"/>
      <c r="C292" s="280"/>
      <c r="D292" s="178"/>
      <c r="E292" s="261"/>
      <c r="F292" s="178"/>
      <c r="G292" s="256"/>
    </row>
    <row r="293" spans="1:7" ht="13.5">
      <c r="A293" s="139"/>
      <c r="B293" s="179"/>
      <c r="C293" s="179"/>
      <c r="D293" s="262"/>
      <c r="E293" s="260"/>
      <c r="F293" s="179"/>
      <c r="G293" s="259"/>
    </row>
    <row r="294" spans="1:7" ht="13.5">
      <c r="A294" s="139"/>
      <c r="B294" s="179"/>
      <c r="C294" s="179"/>
      <c r="D294" s="271"/>
      <c r="E294" s="260"/>
      <c r="F294" s="257"/>
      <c r="G294" s="252"/>
    </row>
    <row r="295" spans="1:7" ht="13.5">
      <c r="A295" s="139"/>
      <c r="B295" s="179"/>
      <c r="C295" s="179"/>
      <c r="D295" s="262"/>
      <c r="E295" s="260"/>
      <c r="F295" s="257"/>
      <c r="G295" s="252"/>
    </row>
    <row r="296" spans="1:7" ht="13.5">
      <c r="A296" s="139"/>
      <c r="B296" s="179"/>
      <c r="C296" s="179"/>
      <c r="D296" s="262"/>
      <c r="E296" s="260"/>
      <c r="F296" s="179"/>
      <c r="G296" s="252"/>
    </row>
    <row r="297" spans="1:7" ht="13.5">
      <c r="A297" s="139"/>
      <c r="B297" s="179"/>
      <c r="C297" s="179"/>
      <c r="D297" s="262"/>
      <c r="E297" s="260"/>
      <c r="F297" s="179"/>
      <c r="G297" s="252"/>
    </row>
    <row r="298" spans="1:7" ht="13.5">
      <c r="A298" s="139"/>
      <c r="B298" s="179"/>
      <c r="C298" s="179"/>
      <c r="D298" s="262"/>
      <c r="E298" s="260"/>
      <c r="F298" s="257"/>
      <c r="G298" s="252"/>
    </row>
    <row r="299" spans="1:7" ht="13.5">
      <c r="A299" s="253"/>
      <c r="B299" s="178"/>
      <c r="C299" s="178"/>
      <c r="D299" s="178"/>
      <c r="E299" s="261"/>
      <c r="F299" s="178"/>
      <c r="G299" s="256"/>
    </row>
    <row r="300" spans="1:7" ht="13.5">
      <c r="A300" s="177"/>
      <c r="B300" s="179"/>
      <c r="C300" s="179"/>
      <c r="D300" s="269"/>
      <c r="E300" s="260"/>
      <c r="F300" s="179"/>
      <c r="G300" s="259"/>
    </row>
    <row r="301" spans="1:7" ht="13.5">
      <c r="A301" s="177"/>
      <c r="B301" s="179"/>
      <c r="C301" s="179"/>
      <c r="D301" s="269"/>
      <c r="E301" s="260"/>
      <c r="F301" s="179"/>
      <c r="G301" s="286"/>
    </row>
    <row r="302" spans="1:7" ht="13.5">
      <c r="A302" s="177"/>
      <c r="B302" s="257"/>
      <c r="C302" s="257"/>
      <c r="D302" s="287"/>
      <c r="E302" s="258"/>
      <c r="F302" s="179"/>
      <c r="G302" s="274"/>
    </row>
    <row r="303" spans="1:7" ht="13.5">
      <c r="A303" s="177"/>
      <c r="B303" s="257"/>
      <c r="C303" s="257"/>
      <c r="D303" s="287"/>
      <c r="E303" s="258"/>
      <c r="F303" s="179"/>
      <c r="G303" s="274"/>
    </row>
    <row r="304" spans="1:7" ht="13.5">
      <c r="A304" s="177"/>
      <c r="B304" s="179"/>
      <c r="C304" s="179"/>
      <c r="D304" s="269"/>
      <c r="E304" s="260"/>
      <c r="F304" s="179"/>
      <c r="G304" s="286"/>
    </row>
    <row r="305" spans="1:7" ht="13.5">
      <c r="A305" s="180"/>
      <c r="B305" s="178"/>
      <c r="C305" s="178"/>
      <c r="D305" s="255"/>
      <c r="E305" s="277"/>
      <c r="F305" s="255"/>
      <c r="G305" s="272"/>
    </row>
    <row r="306" spans="1:7" ht="13.5">
      <c r="A306" s="139"/>
      <c r="B306" s="179"/>
      <c r="C306" s="179"/>
      <c r="D306" s="179"/>
      <c r="E306" s="260"/>
      <c r="F306" s="179"/>
      <c r="G306" s="264"/>
    </row>
    <row r="307" spans="1:7" ht="13.5">
      <c r="A307" s="139"/>
      <c r="B307" s="179"/>
      <c r="C307" s="179"/>
      <c r="D307" s="179"/>
      <c r="E307" s="260"/>
      <c r="F307" s="179"/>
      <c r="G307" s="266"/>
    </row>
    <row r="308" spans="1:7" ht="13.5">
      <c r="A308" s="139"/>
      <c r="B308" s="179"/>
      <c r="C308" s="179"/>
      <c r="D308" s="179"/>
      <c r="E308" s="260"/>
      <c r="F308" s="179"/>
      <c r="G308" s="266"/>
    </row>
    <row r="309" spans="1:7" ht="13.5">
      <c r="A309" s="139"/>
      <c r="B309" s="179"/>
      <c r="C309" s="179"/>
      <c r="D309" s="179"/>
      <c r="E309" s="260"/>
      <c r="F309" s="179"/>
      <c r="G309" s="266"/>
    </row>
    <row r="310" spans="1:7" ht="13.5">
      <c r="A310" s="139"/>
      <c r="B310" s="179"/>
      <c r="C310" s="179"/>
      <c r="D310" s="179"/>
      <c r="E310" s="260"/>
      <c r="F310" s="260"/>
      <c r="G310" s="266"/>
    </row>
    <row r="311" spans="1:7" ht="13.5">
      <c r="A311" s="139"/>
      <c r="B311" s="179"/>
      <c r="C311" s="179"/>
      <c r="D311" s="179"/>
      <c r="E311" s="260"/>
      <c r="F311" s="179"/>
      <c r="G311" s="266"/>
    </row>
    <row r="312" spans="1:7" ht="13.5">
      <c r="A312" s="139"/>
      <c r="B312" s="179"/>
      <c r="C312" s="179"/>
      <c r="D312" s="179"/>
      <c r="E312" s="260"/>
      <c r="F312" s="179"/>
      <c r="G312" s="266"/>
    </row>
    <row r="313" spans="1:7" ht="13.5">
      <c r="A313" s="253"/>
      <c r="B313" s="178"/>
      <c r="C313" s="178"/>
      <c r="D313" s="178"/>
      <c r="E313" s="261"/>
      <c r="F313" s="178"/>
      <c r="G313" s="256"/>
    </row>
    <row r="314" spans="1:7" ht="13.5">
      <c r="A314" s="177"/>
      <c r="B314" s="179"/>
      <c r="C314" s="179"/>
      <c r="D314" s="257"/>
      <c r="E314" s="260"/>
      <c r="F314" s="179"/>
      <c r="G314" s="259"/>
    </row>
    <row r="315" spans="1:7" ht="13.5">
      <c r="A315" s="177"/>
      <c r="B315" s="179"/>
      <c r="C315" s="179"/>
      <c r="D315" s="288"/>
      <c r="E315" s="260"/>
      <c r="F315" s="179"/>
      <c r="G315" s="252"/>
    </row>
    <row r="316" spans="1:7" ht="13.5">
      <c r="A316" s="177"/>
      <c r="B316" s="257"/>
      <c r="C316" s="179"/>
      <c r="D316" s="287"/>
      <c r="E316" s="260"/>
      <c r="F316" s="179"/>
      <c r="G316" s="252"/>
    </row>
    <row r="317" spans="1:7" ht="13.5">
      <c r="A317" s="177"/>
      <c r="B317" s="179"/>
      <c r="C317" s="179"/>
      <c r="D317" s="287"/>
      <c r="E317" s="260"/>
      <c r="F317" s="179"/>
      <c r="G317" s="252"/>
    </row>
    <row r="318" spans="1:7" ht="13.5">
      <c r="A318" s="180"/>
      <c r="B318" s="178"/>
      <c r="C318" s="178"/>
      <c r="D318" s="178"/>
      <c r="E318" s="178"/>
      <c r="F318" s="178"/>
      <c r="G318" s="256"/>
    </row>
    <row r="319" spans="1:7" ht="13.5">
      <c r="A319" s="177"/>
      <c r="B319" s="179"/>
      <c r="C319" s="179"/>
      <c r="D319" s="179"/>
      <c r="E319" s="260"/>
      <c r="F319" s="179"/>
      <c r="G319" s="259"/>
    </row>
    <row r="320" spans="1:7" ht="13.5">
      <c r="A320" s="177"/>
      <c r="B320" s="179"/>
      <c r="C320" s="179"/>
      <c r="D320" s="179"/>
      <c r="E320" s="260"/>
      <c r="F320" s="179"/>
      <c r="G320" s="252"/>
    </row>
    <row r="321" spans="1:7" ht="13.5">
      <c r="A321" s="177"/>
      <c r="B321" s="179"/>
      <c r="C321" s="179"/>
      <c r="D321" s="179"/>
      <c r="E321" s="260"/>
      <c r="F321" s="179"/>
      <c r="G321" s="266"/>
    </row>
    <row r="322" spans="1:7" ht="13.5">
      <c r="A322" s="253"/>
      <c r="B322" s="255"/>
      <c r="C322" s="283"/>
      <c r="D322" s="255"/>
      <c r="E322" s="277"/>
      <c r="F322" s="255"/>
      <c r="G322" s="272"/>
    </row>
    <row r="323" spans="1:7" ht="13.5">
      <c r="A323" s="139"/>
      <c r="B323" s="179"/>
      <c r="C323" s="179"/>
      <c r="D323" s="179"/>
      <c r="E323" s="263"/>
      <c r="F323" s="179"/>
      <c r="G323" s="264"/>
    </row>
    <row r="324" spans="1:7" ht="13.5">
      <c r="A324" s="139"/>
      <c r="B324" s="179"/>
      <c r="C324" s="251"/>
      <c r="D324" s="179"/>
      <c r="E324" s="260"/>
      <c r="F324" s="179"/>
      <c r="G324" s="252"/>
    </row>
    <row r="325" spans="1:7" ht="13.5">
      <c r="A325" s="139"/>
      <c r="B325" s="179"/>
      <c r="C325" s="179"/>
      <c r="D325" s="179"/>
      <c r="E325" s="258"/>
      <c r="F325" s="179"/>
      <c r="G325" s="266"/>
    </row>
    <row r="326" spans="1:7" ht="13.5">
      <c r="A326" s="139"/>
      <c r="B326" s="257"/>
      <c r="C326" s="257"/>
      <c r="D326" s="257"/>
      <c r="E326" s="258"/>
      <c r="F326" s="179"/>
      <c r="G326" s="266"/>
    </row>
    <row r="327" spans="1:7" ht="13.5">
      <c r="A327" s="139"/>
      <c r="B327" s="257"/>
      <c r="C327" s="257"/>
      <c r="D327" s="257"/>
      <c r="E327" s="258"/>
      <c r="F327" s="257"/>
      <c r="G327" s="266"/>
    </row>
    <row r="328" spans="1:7" ht="13.5">
      <c r="A328" s="253"/>
      <c r="B328" s="178"/>
      <c r="C328" s="178"/>
      <c r="D328" s="178"/>
      <c r="E328" s="261"/>
      <c r="F328" s="178"/>
      <c r="G328" s="256"/>
    </row>
    <row r="329" spans="1:7" ht="13.5">
      <c r="A329" s="139"/>
      <c r="B329" s="179"/>
      <c r="C329" s="179"/>
      <c r="D329" s="179"/>
      <c r="E329" s="263"/>
      <c r="F329" s="179"/>
      <c r="G329" s="264"/>
    </row>
    <row r="330" spans="1:7" ht="13.5">
      <c r="A330" s="139"/>
      <c r="B330" s="179"/>
      <c r="C330" s="179"/>
      <c r="D330" s="262"/>
      <c r="E330" s="260"/>
      <c r="F330" s="179"/>
      <c r="G330" s="252"/>
    </row>
    <row r="331" spans="1:7" ht="13.5">
      <c r="A331" s="139"/>
      <c r="B331" s="179"/>
      <c r="C331" s="179"/>
      <c r="D331" s="179"/>
      <c r="E331" s="260"/>
      <c r="F331" s="179"/>
      <c r="G331" s="252"/>
    </row>
    <row r="332" spans="1:7" ht="13.5">
      <c r="A332" s="139"/>
      <c r="B332" s="179"/>
      <c r="C332" s="179"/>
      <c r="D332" s="179"/>
      <c r="E332" s="260"/>
      <c r="F332" s="179"/>
      <c r="G332" s="252"/>
    </row>
    <row r="333" spans="1:7" ht="13.5">
      <c r="A333" s="139"/>
      <c r="B333" s="179"/>
      <c r="C333" s="179"/>
      <c r="D333" s="179"/>
      <c r="E333" s="260"/>
      <c r="F333" s="179"/>
      <c r="G333" s="252"/>
    </row>
    <row r="334" spans="1:7" ht="13.5">
      <c r="A334" s="253"/>
      <c r="B334" s="178"/>
      <c r="C334" s="178"/>
      <c r="D334" s="178"/>
      <c r="E334" s="178"/>
      <c r="F334" s="178"/>
      <c r="G334" s="256"/>
    </row>
    <row r="335" spans="1:7" ht="13.5">
      <c r="A335" s="139"/>
      <c r="B335" s="179"/>
      <c r="C335" s="179"/>
      <c r="D335" s="179"/>
      <c r="E335" s="260"/>
      <c r="F335" s="179"/>
      <c r="G335" s="264"/>
    </row>
    <row r="336" spans="1:7" ht="13.5">
      <c r="A336" s="139"/>
      <c r="B336" s="179"/>
      <c r="C336" s="179"/>
      <c r="D336" s="179"/>
      <c r="E336" s="260"/>
      <c r="F336" s="179"/>
      <c r="G336" s="252"/>
    </row>
    <row r="337" spans="1:7" ht="13.5">
      <c r="A337" s="139"/>
      <c r="B337" s="179"/>
      <c r="C337" s="179"/>
      <c r="D337" s="179"/>
      <c r="E337" s="260"/>
      <c r="F337" s="179"/>
      <c r="G337" s="252"/>
    </row>
    <row r="338" spans="1:7" ht="13.5">
      <c r="A338" s="139"/>
      <c r="B338" s="179"/>
      <c r="C338" s="179"/>
      <c r="D338" s="179"/>
      <c r="E338" s="260"/>
      <c r="F338" s="179"/>
      <c r="G338" s="252"/>
    </row>
    <row r="339" spans="1:7" ht="13.5">
      <c r="A339" s="139"/>
      <c r="B339" s="179"/>
      <c r="C339" s="179"/>
      <c r="D339" s="179"/>
      <c r="E339" s="260"/>
      <c r="F339" s="179"/>
      <c r="G339" s="252"/>
    </row>
    <row r="340" spans="1:7" ht="13.5">
      <c r="A340" s="139"/>
      <c r="B340" s="179"/>
      <c r="C340" s="179"/>
      <c r="D340" s="179"/>
      <c r="E340" s="260"/>
      <c r="F340" s="179"/>
      <c r="G340" s="252"/>
    </row>
    <row r="341" spans="1:7" ht="13.5">
      <c r="A341" s="139"/>
      <c r="B341" s="179"/>
      <c r="C341" s="179"/>
      <c r="D341" s="179"/>
      <c r="E341" s="260"/>
      <c r="F341" s="179"/>
      <c r="G341" s="252"/>
    </row>
    <row r="342" spans="1:7" ht="13.5">
      <c r="A342" s="253"/>
      <c r="B342" s="178"/>
      <c r="C342" s="178"/>
      <c r="D342" s="178"/>
      <c r="E342" s="261"/>
      <c r="F342" s="178"/>
      <c r="G342" s="256"/>
    </row>
    <row r="343" spans="1:7" ht="13.5">
      <c r="A343" s="139"/>
      <c r="B343" s="179"/>
      <c r="C343" s="179"/>
      <c r="D343" s="179"/>
      <c r="E343" s="260"/>
      <c r="F343" s="179"/>
      <c r="G343" s="259"/>
    </row>
    <row r="344" spans="1:7" ht="13.5">
      <c r="A344" s="139"/>
      <c r="B344" s="179"/>
      <c r="C344" s="179"/>
      <c r="D344" s="179"/>
      <c r="E344" s="260"/>
      <c r="F344" s="179"/>
      <c r="G344" s="252"/>
    </row>
    <row r="345" spans="1:7" ht="13.5">
      <c r="A345" s="139"/>
      <c r="B345" s="179"/>
      <c r="C345" s="179"/>
      <c r="D345" s="179"/>
      <c r="E345" s="260"/>
      <c r="F345" s="179"/>
      <c r="G345" s="252"/>
    </row>
    <row r="346" spans="1:7" ht="13.5">
      <c r="A346" s="139"/>
      <c r="B346" s="179"/>
      <c r="C346" s="179"/>
      <c r="D346" s="179"/>
      <c r="E346" s="260"/>
      <c r="F346" s="179"/>
      <c r="G346" s="252"/>
    </row>
    <row r="347" spans="1:7" ht="13.5">
      <c r="A347" s="139"/>
      <c r="B347" s="179"/>
      <c r="C347" s="179"/>
      <c r="D347" s="179"/>
      <c r="E347" s="260"/>
      <c r="F347" s="179"/>
      <c r="G347" s="252"/>
    </row>
    <row r="348" spans="1:7" ht="13.5">
      <c r="A348" s="180"/>
      <c r="B348" s="255"/>
      <c r="C348" s="255"/>
      <c r="D348" s="255"/>
      <c r="E348" s="180"/>
      <c r="F348" s="255"/>
      <c r="G348" s="289"/>
    </row>
    <row r="349" spans="1:7" ht="13.5">
      <c r="A349" s="139"/>
      <c r="B349" s="257"/>
      <c r="C349" s="257"/>
      <c r="D349" s="257"/>
      <c r="E349" s="290"/>
      <c r="F349" s="257"/>
      <c r="G349" s="279"/>
    </row>
    <row r="350" spans="1:7" ht="13.5">
      <c r="A350" s="253"/>
      <c r="B350" s="178"/>
      <c r="C350" s="178"/>
      <c r="D350" s="178"/>
      <c r="E350" s="291"/>
      <c r="F350" s="178"/>
      <c r="G350" s="256"/>
    </row>
    <row r="351" spans="1:7" ht="13.5">
      <c r="A351" s="139"/>
      <c r="B351" s="179"/>
      <c r="C351" s="179"/>
      <c r="D351" s="179"/>
      <c r="E351" s="258"/>
      <c r="F351" s="179"/>
      <c r="G351" s="259"/>
    </row>
    <row r="352" spans="1:7" ht="13.5">
      <c r="A352" s="139"/>
      <c r="B352" s="179"/>
      <c r="C352" s="179"/>
      <c r="D352" s="179"/>
      <c r="E352" s="258"/>
      <c r="F352" s="179"/>
      <c r="G352" s="252"/>
    </row>
    <row r="353" spans="1:7" ht="13.5">
      <c r="A353" s="139"/>
      <c r="B353" s="179"/>
      <c r="C353" s="179"/>
      <c r="D353" s="179"/>
      <c r="E353" s="278"/>
      <c r="F353" s="179"/>
      <c r="G353" s="252"/>
    </row>
    <row r="354" spans="1:7" ht="13.5">
      <c r="A354" s="139"/>
      <c r="B354" s="179"/>
      <c r="C354" s="179"/>
      <c r="D354" s="179"/>
      <c r="E354" s="258"/>
      <c r="F354" s="179"/>
      <c r="G354" s="252"/>
    </row>
    <row r="355" spans="1:7" ht="13.5">
      <c r="A355" s="253"/>
      <c r="B355" s="178"/>
      <c r="C355" s="178"/>
      <c r="D355" s="178"/>
      <c r="E355" s="291"/>
      <c r="F355" s="178"/>
      <c r="G355" s="256"/>
    </row>
    <row r="356" spans="1:7" ht="13.5">
      <c r="A356" s="139"/>
      <c r="B356" s="179"/>
      <c r="C356" s="179"/>
      <c r="D356" s="179"/>
      <c r="E356" s="258"/>
      <c r="F356" s="179"/>
      <c r="G356" s="259"/>
    </row>
    <row r="357" spans="1:7" ht="13.5">
      <c r="A357" s="139"/>
      <c r="B357" s="179"/>
      <c r="C357" s="179"/>
      <c r="D357" s="179"/>
      <c r="E357" s="258"/>
      <c r="F357" s="179"/>
      <c r="G357" s="252"/>
    </row>
    <row r="358" spans="1:7" ht="13.5">
      <c r="A358" s="139"/>
      <c r="B358" s="179"/>
      <c r="C358" s="179"/>
      <c r="D358" s="179"/>
      <c r="E358" s="258"/>
      <c r="F358" s="179"/>
      <c r="G358" s="252"/>
    </row>
    <row r="359" spans="1:7" ht="13.5">
      <c r="A359" s="139"/>
      <c r="B359" s="179"/>
      <c r="C359" s="179"/>
      <c r="D359" s="179"/>
      <c r="E359" s="258"/>
      <c r="F359" s="179"/>
      <c r="G359" s="252"/>
    </row>
    <row r="360" spans="1:7" ht="13.5">
      <c r="A360" s="180"/>
      <c r="B360" s="178"/>
      <c r="C360" s="178"/>
      <c r="D360" s="178"/>
      <c r="E360" s="261"/>
      <c r="F360" s="178"/>
      <c r="G360" s="292"/>
    </row>
    <row r="361" spans="1:7" ht="13.5">
      <c r="A361" s="139"/>
      <c r="B361" s="179"/>
      <c r="C361" s="179"/>
      <c r="D361" s="179"/>
      <c r="E361" s="260"/>
      <c r="F361" s="179"/>
      <c r="G361" s="293"/>
    </row>
    <row r="362" spans="1:7" ht="13.5">
      <c r="A362" s="139"/>
      <c r="B362" s="179"/>
      <c r="C362" s="251"/>
      <c r="D362" s="179"/>
      <c r="E362" s="260"/>
      <c r="F362" s="179"/>
      <c r="G362" s="279"/>
    </row>
    <row r="363" spans="1:7" ht="13.5">
      <c r="A363" s="139"/>
      <c r="B363" s="179"/>
      <c r="C363" s="179"/>
      <c r="D363" s="179"/>
      <c r="E363" s="260"/>
      <c r="F363" s="179"/>
      <c r="G363" s="279"/>
    </row>
    <row r="364" spans="1:7" ht="13.5">
      <c r="A364" s="139"/>
      <c r="B364" s="179"/>
      <c r="C364" s="179"/>
      <c r="D364" s="179"/>
      <c r="E364" s="269"/>
      <c r="F364" s="179"/>
      <c r="G364" s="279"/>
    </row>
    <row r="365" spans="1:7" ht="13.5">
      <c r="A365" s="253"/>
      <c r="B365" s="255"/>
      <c r="C365" s="283"/>
      <c r="D365" s="255"/>
      <c r="E365" s="277"/>
      <c r="F365" s="255"/>
      <c r="G365" s="272"/>
    </row>
    <row r="366" spans="1:7" ht="13.5">
      <c r="A366" s="139"/>
      <c r="B366" s="179"/>
      <c r="C366" s="179"/>
      <c r="D366" s="179"/>
      <c r="E366" s="263"/>
      <c r="F366" s="179"/>
      <c r="G366" s="264"/>
    </row>
    <row r="367" spans="1:7" ht="13.5">
      <c r="A367" s="139"/>
      <c r="B367" s="179"/>
      <c r="C367" s="251"/>
      <c r="D367" s="179"/>
      <c r="E367" s="260"/>
      <c r="F367" s="179"/>
      <c r="G367" s="252"/>
    </row>
    <row r="368" spans="1:7" ht="13.5">
      <c r="A368" s="139"/>
      <c r="B368" s="179"/>
      <c r="C368" s="179"/>
      <c r="D368" s="179"/>
      <c r="E368" s="258"/>
      <c r="F368" s="179"/>
      <c r="G368" s="266"/>
    </row>
    <row r="369" spans="1:7" ht="13.5">
      <c r="A369" s="139"/>
      <c r="B369" s="257"/>
      <c r="C369" s="257"/>
      <c r="D369" s="257"/>
      <c r="E369" s="258"/>
      <c r="F369" s="179"/>
      <c r="G369" s="266"/>
    </row>
    <row r="370" spans="1:7" ht="13.5">
      <c r="A370" s="294"/>
      <c r="B370" s="255"/>
      <c r="C370" s="295"/>
      <c r="D370" s="255"/>
      <c r="E370" s="296"/>
      <c r="F370" s="255"/>
      <c r="G370" s="284"/>
    </row>
    <row r="371" spans="1:7" ht="13.5">
      <c r="A371" s="297"/>
      <c r="B371" s="275"/>
      <c r="C371" s="275"/>
      <c r="D371" s="275"/>
      <c r="E371" s="299"/>
      <c r="F371" s="275"/>
      <c r="G371" s="300"/>
    </row>
    <row r="372" spans="1:7" ht="13.5">
      <c r="A372" s="253"/>
      <c r="B372" s="178"/>
      <c r="C372" s="178"/>
      <c r="D372" s="178"/>
      <c r="E372" s="291"/>
      <c r="F372" s="178"/>
      <c r="G372" s="256"/>
    </row>
    <row r="373" spans="1:7" ht="13.5">
      <c r="A373" s="139"/>
      <c r="B373" s="179"/>
      <c r="C373" s="179"/>
      <c r="D373" s="179"/>
      <c r="E373" s="258"/>
      <c r="F373" s="179"/>
      <c r="G373" s="259"/>
    </row>
    <row r="374" spans="1:7" ht="13.5">
      <c r="A374" s="139"/>
      <c r="B374" s="179"/>
      <c r="C374" s="179"/>
      <c r="D374" s="179"/>
      <c r="E374" s="258"/>
      <c r="F374" s="179"/>
      <c r="G374" s="252"/>
    </row>
    <row r="375" spans="1:7" ht="13.5">
      <c r="A375" s="139"/>
      <c r="B375" s="179"/>
      <c r="C375" s="179"/>
      <c r="D375" s="179"/>
      <c r="E375" s="278"/>
      <c r="F375" s="179"/>
      <c r="G375" s="252"/>
    </row>
    <row r="376" spans="1:7" ht="13.5">
      <c r="A376" s="139"/>
      <c r="B376" s="179"/>
      <c r="C376" s="179"/>
      <c r="D376" s="179"/>
      <c r="E376" s="258"/>
      <c r="F376" s="179"/>
      <c r="G376" s="252"/>
    </row>
    <row r="377" spans="1:7" ht="13.5">
      <c r="A377" s="253"/>
      <c r="B377" s="178"/>
      <c r="C377" s="178"/>
      <c r="D377" s="178"/>
      <c r="E377" s="291"/>
      <c r="F377" s="178"/>
      <c r="G377" s="256"/>
    </row>
    <row r="378" spans="1:7" ht="13.5">
      <c r="A378" s="139"/>
      <c r="B378" s="179"/>
      <c r="C378" s="179"/>
      <c r="D378" s="179"/>
      <c r="E378" s="258"/>
      <c r="F378" s="179"/>
      <c r="G378" s="259"/>
    </row>
    <row r="379" spans="1:7" ht="13.5">
      <c r="A379" s="139"/>
      <c r="B379" s="179"/>
      <c r="C379" s="179"/>
      <c r="D379" s="179"/>
      <c r="E379" s="258"/>
      <c r="F379" s="179"/>
      <c r="G379" s="252"/>
    </row>
    <row r="380" spans="1:7" ht="13.5">
      <c r="A380" s="139"/>
      <c r="B380" s="179"/>
      <c r="C380" s="179"/>
      <c r="D380" s="179"/>
      <c r="E380" s="258"/>
      <c r="F380" s="179"/>
      <c r="G380" s="252"/>
    </row>
    <row r="381" spans="1:7" ht="13.5">
      <c r="A381" s="139"/>
      <c r="B381" s="179"/>
      <c r="C381" s="179"/>
      <c r="D381" s="179"/>
      <c r="E381" s="258"/>
      <c r="F381" s="179"/>
      <c r="G381" s="252"/>
    </row>
    <row r="382" spans="1:7" ht="13.5">
      <c r="A382" s="180"/>
      <c r="B382" s="178"/>
      <c r="C382" s="254"/>
      <c r="D382" s="178"/>
      <c r="E382" s="267"/>
      <c r="F382" s="178"/>
      <c r="G382" s="256"/>
    </row>
    <row r="383" spans="1:7" ht="13.5">
      <c r="A383" s="139"/>
      <c r="B383" s="179"/>
      <c r="C383" s="179"/>
      <c r="D383" s="179"/>
      <c r="E383" s="260"/>
      <c r="F383" s="179"/>
      <c r="G383" s="259"/>
    </row>
    <row r="384" spans="1:7" ht="13.5">
      <c r="A384" s="139"/>
      <c r="B384" s="179"/>
      <c r="C384" s="179"/>
      <c r="D384" s="179"/>
      <c r="E384" s="260"/>
      <c r="F384" s="179"/>
      <c r="G384" s="252"/>
    </row>
    <row r="385" spans="1:7" ht="13.5">
      <c r="A385" s="139"/>
      <c r="B385" s="179"/>
      <c r="C385" s="179"/>
      <c r="D385" s="179"/>
      <c r="E385" s="260"/>
      <c r="F385" s="179"/>
      <c r="G385" s="252"/>
    </row>
    <row r="386" spans="1:7" ht="13.5">
      <c r="A386" s="139"/>
      <c r="B386" s="179"/>
      <c r="C386" s="179"/>
      <c r="D386" s="179"/>
      <c r="E386" s="260"/>
      <c r="F386" s="179"/>
      <c r="G386" s="252"/>
    </row>
    <row r="387" spans="1:7" ht="13.5">
      <c r="A387" s="139"/>
      <c r="B387" s="179"/>
      <c r="C387" s="179"/>
      <c r="D387" s="179"/>
      <c r="E387" s="260"/>
      <c r="F387" s="179"/>
      <c r="G387" s="252"/>
    </row>
    <row r="388" spans="1:7" ht="13.5">
      <c r="A388" s="276"/>
      <c r="B388" s="273"/>
      <c r="C388" s="179"/>
      <c r="D388" s="179"/>
      <c r="E388" s="260"/>
      <c r="F388" s="179"/>
      <c r="G388" s="230"/>
    </row>
    <row r="389" spans="1:7" ht="13.5">
      <c r="A389" s="276"/>
      <c r="B389" s="179"/>
      <c r="C389" s="179"/>
      <c r="D389" s="179"/>
      <c r="E389" s="260"/>
      <c r="F389" s="179"/>
      <c r="G389" s="264"/>
    </row>
    <row r="390" spans="1:7" ht="13.5">
      <c r="A390" s="276"/>
      <c r="B390" s="179"/>
      <c r="C390" s="179"/>
      <c r="D390" s="179"/>
      <c r="E390" s="260"/>
      <c r="F390" s="179"/>
      <c r="G390" s="300"/>
    </row>
    <row r="391" spans="1:7" ht="13.5">
      <c r="A391" s="276"/>
      <c r="B391" s="179"/>
      <c r="C391" s="179"/>
      <c r="D391" s="179"/>
      <c r="E391" s="301"/>
      <c r="F391" s="179"/>
      <c r="G391" s="300"/>
    </row>
    <row r="392" spans="1:7" ht="13.5">
      <c r="A392" s="276"/>
      <c r="B392" s="178"/>
      <c r="C392" s="179"/>
      <c r="D392" s="179"/>
      <c r="E392" s="260"/>
      <c r="F392" s="179"/>
      <c r="G392" s="284"/>
    </row>
    <row r="393" spans="1:7" ht="13.5">
      <c r="A393" s="276"/>
      <c r="B393" s="179"/>
      <c r="C393" s="179"/>
      <c r="D393" s="179"/>
      <c r="E393" s="301"/>
      <c r="F393" s="179"/>
      <c r="G393" s="266"/>
    </row>
    <row r="394" spans="1:7" ht="13.5">
      <c r="A394" s="180"/>
      <c r="B394" s="178"/>
      <c r="C394" s="178"/>
      <c r="D394" s="178"/>
      <c r="E394" s="178"/>
      <c r="F394" s="178"/>
      <c r="G394" s="230"/>
    </row>
    <row r="395" spans="1:7" ht="13.5">
      <c r="A395" s="276"/>
      <c r="B395" s="179"/>
      <c r="C395" s="179"/>
      <c r="D395" s="179"/>
      <c r="E395" s="301"/>
      <c r="F395" s="179"/>
      <c r="G395" s="266"/>
    </row>
    <row r="396" spans="1:7" ht="13.5">
      <c r="A396" s="180"/>
      <c r="B396" s="178"/>
      <c r="C396" s="178"/>
      <c r="D396" s="178"/>
      <c r="E396" s="229"/>
      <c r="F396" s="178"/>
      <c r="G396" s="230"/>
    </row>
    <row r="397" spans="1:7" ht="13.5">
      <c r="A397" s="180"/>
      <c r="B397" s="178"/>
      <c r="C397" s="178"/>
      <c r="D397" s="178"/>
      <c r="E397" s="229"/>
      <c r="F397" s="178"/>
      <c r="G397" s="230"/>
    </row>
    <row r="398" spans="1:7" ht="13.5">
      <c r="A398" s="180"/>
      <c r="B398" s="178"/>
      <c r="C398" s="178"/>
      <c r="D398" s="178"/>
      <c r="E398" s="180"/>
      <c r="F398" s="178"/>
      <c r="G398" s="230"/>
    </row>
    <row r="399" spans="1:7" ht="13.5">
      <c r="A399" s="276"/>
      <c r="B399" s="179"/>
      <c r="C399" s="179"/>
      <c r="D399" s="179"/>
      <c r="E399" s="276"/>
      <c r="F399" s="179"/>
      <c r="G399" s="266"/>
    </row>
    <row r="400" spans="1:7" ht="13.5">
      <c r="A400" s="180"/>
      <c r="B400" s="178"/>
      <c r="C400" s="178"/>
      <c r="D400" s="178"/>
      <c r="E400" s="229"/>
      <c r="F400" s="178"/>
      <c r="G400" s="230"/>
    </row>
    <row r="401" spans="1:7" ht="13.5">
      <c r="A401" s="180"/>
      <c r="B401" s="178"/>
      <c r="C401" s="178"/>
      <c r="D401" s="178"/>
      <c r="E401" s="229"/>
      <c r="F401" s="178"/>
      <c r="G401" s="230"/>
    </row>
    <row r="402" spans="1:7" ht="12.75">
      <c r="A402" s="302"/>
      <c r="B402" s="302"/>
      <c r="C402" s="302"/>
      <c r="D402" s="302"/>
      <c r="E402" s="302"/>
      <c r="F402" s="302"/>
      <c r="G402" s="302"/>
    </row>
    <row r="403" spans="1:7" ht="12.75">
      <c r="A403" s="302"/>
      <c r="B403" s="302"/>
      <c r="C403" s="302"/>
      <c r="D403" s="302"/>
      <c r="E403" s="302"/>
      <c r="F403" s="302"/>
      <c r="G403" s="302"/>
    </row>
  </sheetData>
  <sheetProtection password="CF2D" sheet="1"/>
  <mergeCells count="11">
    <mergeCell ref="C165:E165"/>
    <mergeCell ref="A1:G1"/>
    <mergeCell ref="A2:G2"/>
    <mergeCell ref="A3:G3"/>
    <mergeCell ref="A4:G4"/>
    <mergeCell ref="A5:A6"/>
    <mergeCell ref="B164:G164"/>
    <mergeCell ref="B5:B6"/>
    <mergeCell ref="C5:C6"/>
    <mergeCell ref="D5:E5"/>
    <mergeCell ref="F5:G5"/>
  </mergeCells>
  <printOptions/>
  <pageMargins left="0.7" right="0.45" top="0.4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4"/>
  <sheetViews>
    <sheetView zoomScalePageLayoutView="0" workbookViewId="0" topLeftCell="A1">
      <selection activeCell="F9" sqref="F9:G89"/>
    </sheetView>
  </sheetViews>
  <sheetFormatPr defaultColWidth="9.140625" defaultRowHeight="12.75"/>
  <cols>
    <col min="1" max="1" width="4.140625" style="13" customWidth="1"/>
    <col min="2" max="2" width="43.8515625" style="1" customWidth="1"/>
    <col min="3" max="4" width="6.7109375" style="1" customWidth="1"/>
    <col min="5" max="5" width="8.8515625" style="17" customWidth="1"/>
    <col min="6" max="6" width="6.8515625" style="1" customWidth="1"/>
    <col min="7" max="7" width="10.57421875" style="11" customWidth="1"/>
    <col min="8" max="8" width="16.140625" style="11" hidden="1" customWidth="1"/>
    <col min="9" max="9" width="13.8515625" style="7" hidden="1" customWidth="1"/>
    <col min="10" max="10" width="22.140625" style="3" hidden="1" customWidth="1"/>
    <col min="11" max="11" width="17.57421875" style="3" hidden="1" customWidth="1"/>
    <col min="12" max="12" width="12.8515625" style="3" customWidth="1"/>
    <col min="13" max="13" width="9.140625" style="3" customWidth="1"/>
    <col min="14" max="16384" width="9.140625" style="1" customWidth="1"/>
  </cols>
  <sheetData>
    <row r="1" spans="1:13" s="22" customFormat="1" ht="53.25" customHeight="1">
      <c r="A1" s="469" t="s">
        <v>824</v>
      </c>
      <c r="B1" s="470"/>
      <c r="C1" s="470"/>
      <c r="D1" s="470"/>
      <c r="E1" s="470"/>
      <c r="F1" s="470"/>
      <c r="G1" s="470"/>
      <c r="H1" s="3"/>
      <c r="I1" s="21"/>
      <c r="J1" s="20"/>
      <c r="K1" s="20"/>
      <c r="L1" s="20"/>
      <c r="M1" s="20"/>
    </row>
    <row r="2" spans="1:9" ht="15.75" customHeight="1">
      <c r="A2" s="471" t="s">
        <v>786</v>
      </c>
      <c r="B2" s="471"/>
      <c r="C2" s="471"/>
      <c r="D2" s="471"/>
      <c r="E2" s="471"/>
      <c r="F2" s="471"/>
      <c r="G2" s="471"/>
      <c r="H2" s="3"/>
      <c r="I2" s="2"/>
    </row>
    <row r="3" spans="1:9" ht="18" customHeight="1">
      <c r="A3" s="471" t="s">
        <v>524</v>
      </c>
      <c r="B3" s="471"/>
      <c r="C3" s="471"/>
      <c r="D3" s="471"/>
      <c r="E3" s="471"/>
      <c r="F3" s="471"/>
      <c r="G3" s="471"/>
      <c r="H3" s="23"/>
      <c r="I3" s="3"/>
    </row>
    <row r="4" spans="1:9" ht="18" customHeight="1">
      <c r="A4" s="475" t="s">
        <v>525</v>
      </c>
      <c r="B4" s="475"/>
      <c r="C4" s="475"/>
      <c r="D4" s="475"/>
      <c r="E4" s="475"/>
      <c r="F4" s="475"/>
      <c r="G4" s="475"/>
      <c r="H4" s="3"/>
      <c r="I4" s="2"/>
    </row>
    <row r="5" spans="1:10" ht="25.5" customHeight="1">
      <c r="A5" s="461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  <c r="H5" s="10"/>
      <c r="I5" s="15"/>
      <c r="J5" s="10"/>
    </row>
    <row r="6" spans="1:10" ht="58.5" customHeight="1">
      <c r="A6" s="461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  <c r="H6" s="12"/>
      <c r="I6" s="8"/>
      <c r="J6" s="10"/>
    </row>
    <row r="7" spans="1:13" s="5" customFormat="1" ht="14.25" customHeight="1">
      <c r="A7" s="198" t="s">
        <v>51</v>
      </c>
      <c r="B7" s="248">
        <v>3</v>
      </c>
      <c r="C7" s="248">
        <v>4</v>
      </c>
      <c r="D7" s="248">
        <v>5</v>
      </c>
      <c r="E7" s="248">
        <v>6</v>
      </c>
      <c r="F7" s="248">
        <v>7</v>
      </c>
      <c r="G7" s="234">
        <v>8</v>
      </c>
      <c r="H7" s="9"/>
      <c r="I7" s="9"/>
      <c r="J7" s="14"/>
      <c r="K7" s="6"/>
      <c r="L7" s="6"/>
      <c r="M7" s="6"/>
    </row>
    <row r="8" spans="1:7" s="5" customFormat="1" ht="21.75" customHeight="1">
      <c r="A8" s="408"/>
      <c r="B8" s="423" t="s">
        <v>186</v>
      </c>
      <c r="C8" s="248"/>
      <c r="D8" s="248"/>
      <c r="E8" s="248"/>
      <c r="F8" s="248"/>
      <c r="G8" s="234"/>
    </row>
    <row r="9" spans="1:10" s="5" customFormat="1" ht="43.5" customHeight="1">
      <c r="A9" s="424">
        <v>1</v>
      </c>
      <c r="B9" s="133" t="s">
        <v>372</v>
      </c>
      <c r="C9" s="133" t="s">
        <v>95</v>
      </c>
      <c r="D9" s="133"/>
      <c r="E9" s="234">
        <f>E83</f>
        <v>1</v>
      </c>
      <c r="F9" s="510"/>
      <c r="G9" s="511"/>
      <c r="I9" s="18">
        <f aca="true" t="shared" si="0" ref="I9:I52">G9</f>
        <v>0</v>
      </c>
      <c r="J9" s="6"/>
    </row>
    <row r="10" spans="1:10" s="30" customFormat="1" ht="19.5" customHeight="1">
      <c r="A10" s="181"/>
      <c r="B10" s="91" t="s">
        <v>318</v>
      </c>
      <c r="C10" s="91" t="s">
        <v>44</v>
      </c>
      <c r="D10" s="91">
        <f>1.15*38.1</f>
        <v>43.815</v>
      </c>
      <c r="E10" s="122">
        <f>E9*D10</f>
        <v>43.815</v>
      </c>
      <c r="F10" s="519"/>
      <c r="G10" s="531"/>
      <c r="I10" s="18">
        <f t="shared" si="0"/>
        <v>0</v>
      </c>
      <c r="J10" s="37">
        <f>G10</f>
        <v>0</v>
      </c>
    </row>
    <row r="11" spans="1:10" s="30" customFormat="1" ht="16.5" customHeight="1">
      <c r="A11" s="181"/>
      <c r="B11" s="91" t="s">
        <v>319</v>
      </c>
      <c r="C11" s="91" t="s">
        <v>54</v>
      </c>
      <c r="D11" s="86">
        <f>1.15*4.84</f>
        <v>5.566</v>
      </c>
      <c r="E11" s="122">
        <f>E9*D11</f>
        <v>5.566</v>
      </c>
      <c r="F11" s="519"/>
      <c r="G11" s="531"/>
      <c r="I11" s="18">
        <f t="shared" si="0"/>
        <v>0</v>
      </c>
      <c r="J11" s="39"/>
    </row>
    <row r="12" spans="1:10" s="33" customFormat="1" ht="21" customHeight="1">
      <c r="A12" s="181"/>
      <c r="B12" s="91" t="s">
        <v>136</v>
      </c>
      <c r="C12" s="91" t="s">
        <v>54</v>
      </c>
      <c r="D12" s="113">
        <v>3.96</v>
      </c>
      <c r="E12" s="122">
        <f>E9*D12</f>
        <v>3.96</v>
      </c>
      <c r="F12" s="519"/>
      <c r="G12" s="531"/>
      <c r="I12" s="18">
        <f t="shared" si="0"/>
        <v>0</v>
      </c>
      <c r="J12" s="36"/>
    </row>
    <row r="13" spans="1:10" s="5" customFormat="1" ht="44.25" customHeight="1">
      <c r="A13" s="198" t="s">
        <v>67</v>
      </c>
      <c r="B13" s="431" t="s">
        <v>928</v>
      </c>
      <c r="C13" s="133" t="s">
        <v>95</v>
      </c>
      <c r="D13" s="133"/>
      <c r="E13" s="234">
        <f>E84</f>
        <v>1</v>
      </c>
      <c r="F13" s="510"/>
      <c r="G13" s="511"/>
      <c r="I13" s="18">
        <f t="shared" si="0"/>
        <v>0</v>
      </c>
      <c r="J13" s="6"/>
    </row>
    <row r="14" spans="1:10" s="30" customFormat="1" ht="15.75" customHeight="1">
      <c r="A14" s="181"/>
      <c r="B14" s="91" t="s">
        <v>256</v>
      </c>
      <c r="C14" s="91" t="s">
        <v>44</v>
      </c>
      <c r="D14" s="91">
        <f>1.15*5.58</f>
        <v>6.417</v>
      </c>
      <c r="E14" s="122">
        <f>E13*D14</f>
        <v>6.417</v>
      </c>
      <c r="F14" s="519"/>
      <c r="G14" s="531"/>
      <c r="I14" s="18">
        <f t="shared" si="0"/>
        <v>0</v>
      </c>
      <c r="J14" s="37">
        <f>G14</f>
        <v>0</v>
      </c>
    </row>
    <row r="15" spans="1:10" s="30" customFormat="1" ht="15.75" customHeight="1">
      <c r="A15" s="181"/>
      <c r="B15" s="91" t="s">
        <v>257</v>
      </c>
      <c r="C15" s="91" t="s">
        <v>54</v>
      </c>
      <c r="D15" s="86">
        <f>1.15*0.01</f>
        <v>0.0115</v>
      </c>
      <c r="E15" s="122">
        <f>E13*D15</f>
        <v>0.0115</v>
      </c>
      <c r="F15" s="519"/>
      <c r="G15" s="531"/>
      <c r="I15" s="18">
        <f t="shared" si="0"/>
        <v>0</v>
      </c>
      <c r="J15" s="39"/>
    </row>
    <row r="16" spans="1:10" s="33" customFormat="1" ht="18.75" customHeight="1">
      <c r="A16" s="181"/>
      <c r="B16" s="91" t="s">
        <v>136</v>
      </c>
      <c r="C16" s="91" t="s">
        <v>54</v>
      </c>
      <c r="D16" s="113">
        <v>0.76</v>
      </c>
      <c r="E16" s="122">
        <f>E13*D16</f>
        <v>0.76</v>
      </c>
      <c r="F16" s="519"/>
      <c r="G16" s="531"/>
      <c r="I16" s="18">
        <f t="shared" si="0"/>
        <v>0</v>
      </c>
      <c r="J16" s="36"/>
    </row>
    <row r="17" spans="1:10" s="5" customFormat="1" ht="40.5" customHeight="1">
      <c r="A17" s="198" t="s">
        <v>112</v>
      </c>
      <c r="B17" s="133" t="s">
        <v>499</v>
      </c>
      <c r="C17" s="133" t="s">
        <v>95</v>
      </c>
      <c r="D17" s="133"/>
      <c r="E17" s="234">
        <f>E86+E87</f>
        <v>2</v>
      </c>
      <c r="F17" s="510"/>
      <c r="G17" s="511"/>
      <c r="I17" s="18">
        <f t="shared" si="0"/>
        <v>0</v>
      </c>
      <c r="J17" s="6"/>
    </row>
    <row r="18" spans="1:10" s="30" customFormat="1" ht="16.5" customHeight="1">
      <c r="A18" s="181"/>
      <c r="B18" s="91" t="s">
        <v>254</v>
      </c>
      <c r="C18" s="91" t="s">
        <v>44</v>
      </c>
      <c r="D18" s="91">
        <f>1.15*13.3</f>
        <v>15.295</v>
      </c>
      <c r="E18" s="122">
        <f>E17*D18</f>
        <v>30.59</v>
      </c>
      <c r="F18" s="519"/>
      <c r="G18" s="531"/>
      <c r="I18" s="18">
        <f t="shared" si="0"/>
        <v>0</v>
      </c>
      <c r="J18" s="37">
        <f>G18</f>
        <v>0</v>
      </c>
    </row>
    <row r="19" spans="1:10" s="30" customFormat="1" ht="17.25" customHeight="1">
      <c r="A19" s="181"/>
      <c r="B19" s="91" t="s">
        <v>255</v>
      </c>
      <c r="C19" s="91" t="s">
        <v>54</v>
      </c>
      <c r="D19" s="86">
        <f>1.15*0.39</f>
        <v>0.44849999999999995</v>
      </c>
      <c r="E19" s="122">
        <f>E17*D19</f>
        <v>0.8969999999999999</v>
      </c>
      <c r="F19" s="519"/>
      <c r="G19" s="531"/>
      <c r="I19" s="18">
        <f t="shared" si="0"/>
        <v>0</v>
      </c>
      <c r="J19" s="39"/>
    </row>
    <row r="20" spans="1:10" s="33" customFormat="1" ht="15.75" customHeight="1">
      <c r="A20" s="181"/>
      <c r="B20" s="91" t="s">
        <v>56</v>
      </c>
      <c r="C20" s="91" t="s">
        <v>54</v>
      </c>
      <c r="D20" s="113">
        <v>1.58</v>
      </c>
      <c r="E20" s="122">
        <f>E17*D20</f>
        <v>3.16</v>
      </c>
      <c r="F20" s="519"/>
      <c r="G20" s="531"/>
      <c r="I20" s="18">
        <f t="shared" si="0"/>
        <v>0</v>
      </c>
      <c r="J20" s="36"/>
    </row>
    <row r="21" spans="1:10" s="5" customFormat="1" ht="42.75" customHeight="1">
      <c r="A21" s="198" t="s">
        <v>113</v>
      </c>
      <c r="B21" s="133" t="s">
        <v>500</v>
      </c>
      <c r="C21" s="133" t="s">
        <v>95</v>
      </c>
      <c r="D21" s="133"/>
      <c r="E21" s="234">
        <f>E85</f>
        <v>1</v>
      </c>
      <c r="F21" s="510"/>
      <c r="G21" s="511"/>
      <c r="I21" s="18">
        <f t="shared" si="0"/>
        <v>0</v>
      </c>
      <c r="J21" s="6"/>
    </row>
    <row r="22" spans="1:10" s="30" customFormat="1" ht="15.75" customHeight="1">
      <c r="A22" s="181"/>
      <c r="B22" s="91" t="s">
        <v>258</v>
      </c>
      <c r="C22" s="91" t="s">
        <v>44</v>
      </c>
      <c r="D22" s="91">
        <f>1.15*3.8</f>
        <v>4.369999999999999</v>
      </c>
      <c r="E22" s="122">
        <f>E21*D22</f>
        <v>4.369999999999999</v>
      </c>
      <c r="F22" s="519"/>
      <c r="G22" s="531"/>
      <c r="I22" s="18">
        <f t="shared" si="0"/>
        <v>0</v>
      </c>
      <c r="J22" s="37">
        <f>G22</f>
        <v>0</v>
      </c>
    </row>
    <row r="23" spans="1:10" s="30" customFormat="1" ht="15.75" customHeight="1">
      <c r="A23" s="181"/>
      <c r="B23" s="91" t="s">
        <v>259</v>
      </c>
      <c r="C23" s="91" t="s">
        <v>54</v>
      </c>
      <c r="D23" s="86">
        <f>1.15*0.22</f>
        <v>0.253</v>
      </c>
      <c r="E23" s="122">
        <f>E21*D23</f>
        <v>0.253</v>
      </c>
      <c r="F23" s="519"/>
      <c r="G23" s="531"/>
      <c r="I23" s="18">
        <f t="shared" si="0"/>
        <v>0</v>
      </c>
      <c r="J23" s="39"/>
    </row>
    <row r="24" spans="1:10" s="33" customFormat="1" ht="16.5" customHeight="1">
      <c r="A24" s="181"/>
      <c r="B24" s="91" t="s">
        <v>56</v>
      </c>
      <c r="C24" s="91" t="s">
        <v>54</v>
      </c>
      <c r="D24" s="113">
        <v>0.22</v>
      </c>
      <c r="E24" s="122">
        <f>E21*D24</f>
        <v>0.22</v>
      </c>
      <c r="F24" s="519"/>
      <c r="G24" s="531"/>
      <c r="I24" s="18">
        <f t="shared" si="0"/>
        <v>0</v>
      </c>
      <c r="J24" s="36"/>
    </row>
    <row r="25" spans="1:10" s="5" customFormat="1" ht="35.25" customHeight="1">
      <c r="A25" s="198" t="s">
        <v>71</v>
      </c>
      <c r="B25" s="133" t="s">
        <v>501</v>
      </c>
      <c r="C25" s="133" t="s">
        <v>61</v>
      </c>
      <c r="D25" s="133"/>
      <c r="E25" s="234">
        <v>12</v>
      </c>
      <c r="F25" s="510"/>
      <c r="G25" s="511"/>
      <c r="I25" s="18">
        <f>G25</f>
        <v>0</v>
      </c>
      <c r="J25" s="6"/>
    </row>
    <row r="26" spans="1:10" s="30" customFormat="1" ht="15.75" customHeight="1">
      <c r="A26" s="181"/>
      <c r="B26" s="91" t="s">
        <v>4</v>
      </c>
      <c r="C26" s="91" t="s">
        <v>44</v>
      </c>
      <c r="D26" s="112">
        <f>1.15*1*3.14*0.2*1.54</f>
        <v>1.112188</v>
      </c>
      <c r="E26" s="122">
        <f>E25*D26</f>
        <v>13.346256</v>
      </c>
      <c r="F26" s="519"/>
      <c r="G26" s="531"/>
      <c r="I26" s="18">
        <f>G26</f>
        <v>0</v>
      </c>
      <c r="J26" s="37">
        <f>G26</f>
        <v>0</v>
      </c>
    </row>
    <row r="27" spans="1:10" s="30" customFormat="1" ht="15.75" customHeight="1">
      <c r="A27" s="181"/>
      <c r="B27" s="91" t="s">
        <v>5</v>
      </c>
      <c r="C27" s="91" t="s">
        <v>54</v>
      </c>
      <c r="D27" s="112">
        <f>1.15*1*3.14*0.2*0.0373</f>
        <v>0.02693806</v>
      </c>
      <c r="E27" s="122">
        <f>E25*D27</f>
        <v>0.32325672</v>
      </c>
      <c r="F27" s="519"/>
      <c r="G27" s="531"/>
      <c r="I27" s="18">
        <f>G27</f>
        <v>0</v>
      </c>
      <c r="J27" s="39"/>
    </row>
    <row r="28" spans="1:10" s="30" customFormat="1" ht="19.5" customHeight="1">
      <c r="A28" s="181"/>
      <c r="B28" s="91" t="s">
        <v>6</v>
      </c>
      <c r="C28" s="91" t="s">
        <v>94</v>
      </c>
      <c r="D28" s="112">
        <f>1*3.14*0.2*0.65</f>
        <v>0.40820000000000006</v>
      </c>
      <c r="E28" s="122">
        <f>E25*D28</f>
        <v>4.8984000000000005</v>
      </c>
      <c r="F28" s="519"/>
      <c r="G28" s="531"/>
      <c r="I28" s="18">
        <f>G28</f>
        <v>0</v>
      </c>
      <c r="J28" s="39"/>
    </row>
    <row r="29" spans="1:10" s="33" customFormat="1" ht="21" customHeight="1">
      <c r="A29" s="181"/>
      <c r="B29" s="91" t="s">
        <v>7</v>
      </c>
      <c r="C29" s="91" t="s">
        <v>54</v>
      </c>
      <c r="D29" s="112">
        <f>1*3.14*0.2*0.169</f>
        <v>0.10613200000000003</v>
      </c>
      <c r="E29" s="122">
        <f>E25*D29</f>
        <v>1.2735840000000005</v>
      </c>
      <c r="F29" s="519"/>
      <c r="G29" s="531"/>
      <c r="I29" s="18">
        <f>G29</f>
        <v>0</v>
      </c>
      <c r="J29" s="36"/>
    </row>
    <row r="30" spans="1:10" s="5" customFormat="1" ht="35.25" customHeight="1">
      <c r="A30" s="198" t="s">
        <v>75</v>
      </c>
      <c r="B30" s="133" t="s">
        <v>502</v>
      </c>
      <c r="C30" s="133" t="s">
        <v>61</v>
      </c>
      <c r="D30" s="133"/>
      <c r="E30" s="242">
        <v>12</v>
      </c>
      <c r="F30" s="510"/>
      <c r="G30" s="511"/>
      <c r="I30" s="18">
        <f t="shared" si="0"/>
        <v>0</v>
      </c>
      <c r="J30" s="6"/>
    </row>
    <row r="31" spans="1:10" s="30" customFormat="1" ht="24" customHeight="1">
      <c r="A31" s="181"/>
      <c r="B31" s="91" t="s">
        <v>260</v>
      </c>
      <c r="C31" s="91" t="s">
        <v>44</v>
      </c>
      <c r="D31" s="91">
        <f>1.15*0.864</f>
        <v>0.9935999999999999</v>
      </c>
      <c r="E31" s="122">
        <f>E30*D31</f>
        <v>11.9232</v>
      </c>
      <c r="F31" s="519"/>
      <c r="G31" s="531"/>
      <c r="I31" s="18">
        <f t="shared" si="0"/>
        <v>0</v>
      </c>
      <c r="J31" s="37">
        <f>G31</f>
        <v>0</v>
      </c>
    </row>
    <row r="32" spans="1:10" s="30" customFormat="1" ht="20.25" customHeight="1">
      <c r="A32" s="181"/>
      <c r="B32" s="91" t="s">
        <v>261</v>
      </c>
      <c r="C32" s="91" t="s">
        <v>54</v>
      </c>
      <c r="D32" s="114">
        <f>1.15*0.052</f>
        <v>0.05979999999999999</v>
      </c>
      <c r="E32" s="122">
        <f>E30*D32</f>
        <v>0.7175999999999999</v>
      </c>
      <c r="F32" s="519"/>
      <c r="G32" s="531"/>
      <c r="I32" s="18">
        <f t="shared" si="0"/>
        <v>0</v>
      </c>
      <c r="J32" s="39"/>
    </row>
    <row r="33" spans="1:10" s="33" customFormat="1" ht="15.75" customHeight="1">
      <c r="A33" s="181"/>
      <c r="B33" s="91" t="s">
        <v>63</v>
      </c>
      <c r="C33" s="91" t="s">
        <v>54</v>
      </c>
      <c r="D33" s="113">
        <v>0.0223</v>
      </c>
      <c r="E33" s="122">
        <f>E30*D33</f>
        <v>0.2676</v>
      </c>
      <c r="F33" s="519"/>
      <c r="G33" s="531"/>
      <c r="I33" s="18">
        <f t="shared" si="0"/>
        <v>0</v>
      </c>
      <c r="J33" s="36"/>
    </row>
    <row r="34" spans="1:10" s="5" customFormat="1" ht="44.25" customHeight="1">
      <c r="A34" s="198" t="s">
        <v>76</v>
      </c>
      <c r="B34" s="133" t="s">
        <v>503</v>
      </c>
      <c r="C34" s="133" t="s">
        <v>61</v>
      </c>
      <c r="D34" s="133"/>
      <c r="E34" s="242">
        <v>8</v>
      </c>
      <c r="F34" s="510"/>
      <c r="G34" s="511"/>
      <c r="I34" s="18">
        <f t="shared" si="0"/>
        <v>0</v>
      </c>
      <c r="J34" s="6"/>
    </row>
    <row r="35" spans="1:10" s="30" customFormat="1" ht="26.25" customHeight="1">
      <c r="A35" s="181"/>
      <c r="B35" s="91" t="s">
        <v>262</v>
      </c>
      <c r="C35" s="91" t="s">
        <v>44</v>
      </c>
      <c r="D35" s="91">
        <f>1.15*0.45</f>
        <v>0.5175</v>
      </c>
      <c r="E35" s="122">
        <f>E34*D35</f>
        <v>4.14</v>
      </c>
      <c r="F35" s="519"/>
      <c r="G35" s="531"/>
      <c r="I35" s="18">
        <f t="shared" si="0"/>
        <v>0</v>
      </c>
      <c r="J35" s="37">
        <f>G35</f>
        <v>0</v>
      </c>
    </row>
    <row r="36" spans="1:10" s="30" customFormat="1" ht="20.25" customHeight="1">
      <c r="A36" s="181"/>
      <c r="B36" s="91" t="s">
        <v>263</v>
      </c>
      <c r="C36" s="91" t="s">
        <v>54</v>
      </c>
      <c r="D36" s="112">
        <f>1.15*0.0122</f>
        <v>0.014029999999999999</v>
      </c>
      <c r="E36" s="122">
        <f>E34*D36</f>
        <v>0.11223999999999999</v>
      </c>
      <c r="F36" s="519"/>
      <c r="G36" s="531"/>
      <c r="I36" s="18">
        <f t="shared" si="0"/>
        <v>0</v>
      </c>
      <c r="J36" s="39"/>
    </row>
    <row r="37" spans="1:10" s="33" customFormat="1" ht="20.25" customHeight="1">
      <c r="A37" s="181"/>
      <c r="B37" s="91" t="s">
        <v>63</v>
      </c>
      <c r="C37" s="91" t="s">
        <v>54</v>
      </c>
      <c r="D37" s="113">
        <v>0.0073</v>
      </c>
      <c r="E37" s="122">
        <f>E34*D37</f>
        <v>0.0584</v>
      </c>
      <c r="F37" s="519"/>
      <c r="G37" s="531"/>
      <c r="I37" s="18">
        <f t="shared" si="0"/>
        <v>0</v>
      </c>
      <c r="J37" s="36"/>
    </row>
    <row r="38" spans="1:10" s="33" customFormat="1" ht="36" customHeight="1">
      <c r="A38" s="198" t="s">
        <v>126</v>
      </c>
      <c r="B38" s="133" t="s">
        <v>373</v>
      </c>
      <c r="C38" s="199" t="s">
        <v>53</v>
      </c>
      <c r="D38" s="133"/>
      <c r="E38" s="234">
        <v>8</v>
      </c>
      <c r="F38" s="510"/>
      <c r="G38" s="511"/>
      <c r="I38" s="18">
        <f t="shared" si="0"/>
        <v>0</v>
      </c>
      <c r="J38" s="47"/>
    </row>
    <row r="39" spans="1:10" s="33" customFormat="1" ht="15.75" customHeight="1">
      <c r="A39" s="181"/>
      <c r="B39" s="91" t="s">
        <v>264</v>
      </c>
      <c r="C39" s="91" t="s">
        <v>44</v>
      </c>
      <c r="D39" s="91">
        <f>1.15*2.67</f>
        <v>3.0704999999999996</v>
      </c>
      <c r="E39" s="122">
        <f>E38*D39</f>
        <v>24.563999999999997</v>
      </c>
      <c r="F39" s="519"/>
      <c r="G39" s="531"/>
      <c r="I39" s="18">
        <f t="shared" si="0"/>
        <v>0</v>
      </c>
      <c r="J39" s="48">
        <f>G39</f>
        <v>0</v>
      </c>
    </row>
    <row r="40" spans="1:10" s="30" customFormat="1" ht="15.75" customHeight="1">
      <c r="A40" s="181"/>
      <c r="B40" s="91" t="s">
        <v>265</v>
      </c>
      <c r="C40" s="91" t="s">
        <v>54</v>
      </c>
      <c r="D40" s="86">
        <f>1.15*0.29</f>
        <v>0.33349999999999996</v>
      </c>
      <c r="E40" s="122">
        <f>E38*D40</f>
        <v>2.6679999999999997</v>
      </c>
      <c r="F40" s="519"/>
      <c r="G40" s="531"/>
      <c r="I40" s="18">
        <f t="shared" si="0"/>
        <v>0</v>
      </c>
      <c r="J40" s="49"/>
    </row>
    <row r="41" spans="1:10" s="30" customFormat="1" ht="15.75" customHeight="1">
      <c r="A41" s="181"/>
      <c r="B41" s="91" t="s">
        <v>63</v>
      </c>
      <c r="C41" s="91" t="s">
        <v>54</v>
      </c>
      <c r="D41" s="113">
        <v>0.2</v>
      </c>
      <c r="E41" s="122">
        <f>E38*D41</f>
        <v>1.6</v>
      </c>
      <c r="F41" s="519"/>
      <c r="G41" s="531"/>
      <c r="I41" s="18">
        <f t="shared" si="0"/>
        <v>0</v>
      </c>
      <c r="J41" s="49"/>
    </row>
    <row r="42" spans="1:10" s="40" customFormat="1" ht="52.5" customHeight="1">
      <c r="A42" s="198" t="s">
        <v>121</v>
      </c>
      <c r="B42" s="133" t="s">
        <v>504</v>
      </c>
      <c r="C42" s="199" t="s">
        <v>53</v>
      </c>
      <c r="D42" s="133"/>
      <c r="E42" s="234">
        <v>4</v>
      </c>
      <c r="F42" s="510"/>
      <c r="G42" s="511"/>
      <c r="I42" s="18">
        <f t="shared" si="0"/>
        <v>0</v>
      </c>
      <c r="J42" s="47"/>
    </row>
    <row r="43" spans="1:10" s="40" customFormat="1" ht="18.75" customHeight="1">
      <c r="A43" s="181"/>
      <c r="B43" s="91" t="s">
        <v>266</v>
      </c>
      <c r="C43" s="91" t="s">
        <v>44</v>
      </c>
      <c r="D43" s="91">
        <f>1.15*1.51</f>
        <v>1.7365</v>
      </c>
      <c r="E43" s="122">
        <f>E42*D43</f>
        <v>6.946</v>
      </c>
      <c r="F43" s="519"/>
      <c r="G43" s="531"/>
      <c r="I43" s="18">
        <f t="shared" si="0"/>
        <v>0</v>
      </c>
      <c r="J43" s="48">
        <f>G43</f>
        <v>0</v>
      </c>
    </row>
    <row r="44" spans="1:10" s="42" customFormat="1" ht="15.75" customHeight="1">
      <c r="A44" s="181"/>
      <c r="B44" s="91" t="s">
        <v>267</v>
      </c>
      <c r="C44" s="91" t="s">
        <v>54</v>
      </c>
      <c r="D44" s="86">
        <f>1.15*0.13</f>
        <v>0.1495</v>
      </c>
      <c r="E44" s="122">
        <f>E42*D44</f>
        <v>0.598</v>
      </c>
      <c r="F44" s="519"/>
      <c r="G44" s="531"/>
      <c r="I44" s="18">
        <f t="shared" si="0"/>
        <v>0</v>
      </c>
      <c r="J44" s="49"/>
    </row>
    <row r="45" spans="1:10" s="42" customFormat="1" ht="24" customHeight="1">
      <c r="A45" s="181"/>
      <c r="B45" s="91" t="s">
        <v>63</v>
      </c>
      <c r="C45" s="91" t="s">
        <v>54</v>
      </c>
      <c r="D45" s="113">
        <v>0.07</v>
      </c>
      <c r="E45" s="122">
        <f>E42*D45</f>
        <v>0.28</v>
      </c>
      <c r="F45" s="519"/>
      <c r="G45" s="531"/>
      <c r="I45" s="18">
        <f t="shared" si="0"/>
        <v>0</v>
      </c>
      <c r="J45" s="49"/>
    </row>
    <row r="46" spans="1:10" s="5" customFormat="1" ht="36.75" customHeight="1">
      <c r="A46" s="424">
        <v>10</v>
      </c>
      <c r="B46" s="133" t="s">
        <v>252</v>
      </c>
      <c r="C46" s="199" t="s">
        <v>53</v>
      </c>
      <c r="D46" s="133"/>
      <c r="E46" s="234">
        <f>E68</f>
        <v>3</v>
      </c>
      <c r="F46" s="510"/>
      <c r="G46" s="511"/>
      <c r="I46" s="18">
        <f t="shared" si="0"/>
        <v>0</v>
      </c>
      <c r="J46" s="50"/>
    </row>
    <row r="47" spans="1:10" s="30" customFormat="1" ht="18" customHeight="1">
      <c r="A47" s="181"/>
      <c r="B47" s="91" t="s">
        <v>268</v>
      </c>
      <c r="C47" s="91" t="s">
        <v>44</v>
      </c>
      <c r="D47" s="91">
        <f>1.15*1.59</f>
        <v>1.8285</v>
      </c>
      <c r="E47" s="122">
        <f>E46*D47</f>
        <v>5.4855</v>
      </c>
      <c r="F47" s="519"/>
      <c r="G47" s="531"/>
      <c r="I47" s="18">
        <f t="shared" si="0"/>
        <v>0</v>
      </c>
      <c r="J47" s="48">
        <f>G47</f>
        <v>0</v>
      </c>
    </row>
    <row r="48" spans="1:10" s="30" customFormat="1" ht="21" customHeight="1">
      <c r="A48" s="181"/>
      <c r="B48" s="91" t="s">
        <v>269</v>
      </c>
      <c r="C48" s="91" t="s">
        <v>54</v>
      </c>
      <c r="D48" s="86">
        <f>1.5*0.06</f>
        <v>0.09</v>
      </c>
      <c r="E48" s="122">
        <f>E46*D48</f>
        <v>0.27</v>
      </c>
      <c r="F48" s="519"/>
      <c r="G48" s="531"/>
      <c r="I48" s="18">
        <f t="shared" si="0"/>
        <v>0</v>
      </c>
      <c r="J48" s="49"/>
    </row>
    <row r="49" spans="1:10" s="33" customFormat="1" ht="17.25" customHeight="1">
      <c r="A49" s="181"/>
      <c r="B49" s="91" t="s">
        <v>63</v>
      </c>
      <c r="C49" s="91" t="s">
        <v>54</v>
      </c>
      <c r="D49" s="113">
        <v>0.66</v>
      </c>
      <c r="E49" s="122">
        <f>E46*D49</f>
        <v>1.98</v>
      </c>
      <c r="F49" s="519"/>
      <c r="G49" s="531"/>
      <c r="I49" s="18">
        <f t="shared" si="0"/>
        <v>0</v>
      </c>
      <c r="J49" s="47"/>
    </row>
    <row r="50" spans="1:10" s="5" customFormat="1" ht="42" customHeight="1">
      <c r="A50" s="424">
        <v>11</v>
      </c>
      <c r="B50" s="133" t="s">
        <v>253</v>
      </c>
      <c r="C50" s="133" t="s">
        <v>95</v>
      </c>
      <c r="D50" s="133"/>
      <c r="E50" s="234">
        <f>E73</f>
        <v>2</v>
      </c>
      <c r="F50" s="510"/>
      <c r="G50" s="511"/>
      <c r="I50" s="18">
        <f t="shared" si="0"/>
        <v>0</v>
      </c>
      <c r="J50" s="50"/>
    </row>
    <row r="51" spans="1:10" s="30" customFormat="1" ht="21" customHeight="1">
      <c r="A51" s="181"/>
      <c r="B51" s="91" t="s">
        <v>270</v>
      </c>
      <c r="C51" s="91" t="s">
        <v>44</v>
      </c>
      <c r="D51" s="91">
        <f>1.15*0.31</f>
        <v>0.3565</v>
      </c>
      <c r="E51" s="122">
        <f>E50*D51</f>
        <v>0.713</v>
      </c>
      <c r="F51" s="519"/>
      <c r="G51" s="531"/>
      <c r="I51" s="18">
        <f t="shared" si="0"/>
        <v>0</v>
      </c>
      <c r="J51" s="48">
        <f>G51</f>
        <v>0</v>
      </c>
    </row>
    <row r="52" spans="1:10" s="33" customFormat="1" ht="24.75" customHeight="1">
      <c r="A52" s="181"/>
      <c r="B52" s="91" t="s">
        <v>63</v>
      </c>
      <c r="C52" s="91" t="s">
        <v>54</v>
      </c>
      <c r="D52" s="113">
        <v>0.04</v>
      </c>
      <c r="E52" s="122">
        <f>E50*D52</f>
        <v>0.08</v>
      </c>
      <c r="F52" s="519"/>
      <c r="G52" s="531"/>
      <c r="I52" s="18">
        <f t="shared" si="0"/>
        <v>0</v>
      </c>
      <c r="J52" s="47"/>
    </row>
    <row r="53" spans="1:9" s="44" customFormat="1" ht="34.5" customHeight="1">
      <c r="A53" s="424">
        <v>12</v>
      </c>
      <c r="B53" s="133" t="s">
        <v>271</v>
      </c>
      <c r="C53" s="133" t="s">
        <v>52</v>
      </c>
      <c r="D53" s="91"/>
      <c r="E53" s="243">
        <v>0.84</v>
      </c>
      <c r="F53" s="516"/>
      <c r="G53" s="511"/>
      <c r="H53" s="18">
        <f>SUM(I9:I52)/2</f>
        <v>0</v>
      </c>
      <c r="I53" s="46"/>
    </row>
    <row r="54" spans="1:8" s="38" customFormat="1" ht="22.5" customHeight="1">
      <c r="A54" s="181"/>
      <c r="B54" s="91" t="s">
        <v>272</v>
      </c>
      <c r="C54" s="91" t="s">
        <v>44</v>
      </c>
      <c r="D54" s="91">
        <f>1.15*13.8</f>
        <v>15.87</v>
      </c>
      <c r="E54" s="86">
        <f>D54*E53</f>
        <v>13.330799999999998</v>
      </c>
      <c r="F54" s="519"/>
      <c r="G54" s="531"/>
      <c r="H54" s="39"/>
    </row>
    <row r="55" spans="1:10" s="38" customFormat="1" ht="22.5" customHeight="1">
      <c r="A55" s="181"/>
      <c r="B55" s="91" t="s">
        <v>273</v>
      </c>
      <c r="C55" s="91" t="s">
        <v>54</v>
      </c>
      <c r="D55" s="91">
        <f>1.15*0.17</f>
        <v>0.1955</v>
      </c>
      <c r="E55" s="86">
        <f>D55*E53</f>
        <v>0.16422</v>
      </c>
      <c r="F55" s="518"/>
      <c r="G55" s="522"/>
      <c r="I55" s="18">
        <f>G83</f>
        <v>0</v>
      </c>
      <c r="J55" s="39"/>
    </row>
    <row r="56" spans="1:10" s="38" customFormat="1" ht="22.5" customHeight="1">
      <c r="A56" s="181"/>
      <c r="B56" s="91" t="s">
        <v>63</v>
      </c>
      <c r="C56" s="91" t="s">
        <v>54</v>
      </c>
      <c r="D56" s="91">
        <v>0.9</v>
      </c>
      <c r="E56" s="86">
        <f>D56*E53</f>
        <v>0.756</v>
      </c>
      <c r="F56" s="518"/>
      <c r="G56" s="522"/>
      <c r="I56" s="18">
        <f>G84</f>
        <v>0</v>
      </c>
      <c r="J56" s="39"/>
    </row>
    <row r="57" spans="1:10" s="38" customFormat="1" ht="22.5" customHeight="1">
      <c r="A57" s="198"/>
      <c r="B57" s="431" t="s">
        <v>929</v>
      </c>
      <c r="C57" s="133"/>
      <c r="D57" s="199"/>
      <c r="E57" s="200"/>
      <c r="F57" s="506"/>
      <c r="G57" s="507"/>
      <c r="I57" s="18">
        <f>G85</f>
        <v>0</v>
      </c>
      <c r="J57" s="39"/>
    </row>
    <row r="58" spans="1:10" s="38" customFormat="1" ht="22.5" customHeight="1">
      <c r="A58" s="181"/>
      <c r="B58" s="431" t="s">
        <v>907</v>
      </c>
      <c r="C58" s="91"/>
      <c r="D58" s="113"/>
      <c r="E58" s="122"/>
      <c r="F58" s="519"/>
      <c r="G58" s="509"/>
      <c r="I58" s="18">
        <f>G86</f>
        <v>0</v>
      </c>
      <c r="J58" s="39"/>
    </row>
    <row r="59" spans="1:10" s="38" customFormat="1" ht="22.5" customHeight="1">
      <c r="A59" s="181" t="s">
        <v>51</v>
      </c>
      <c r="B59" s="91" t="s">
        <v>505</v>
      </c>
      <c r="C59" s="91" t="s">
        <v>79</v>
      </c>
      <c r="D59" s="113"/>
      <c r="E59" s="166">
        <v>12</v>
      </c>
      <c r="F59" s="563"/>
      <c r="G59" s="575"/>
      <c r="I59" s="27">
        <f>G87</f>
        <v>0</v>
      </c>
      <c r="J59" s="39"/>
    </row>
    <row r="60" spans="1:10" s="42" customFormat="1" ht="19.5" customHeight="1">
      <c r="A60" s="181" t="s">
        <v>67</v>
      </c>
      <c r="B60" s="91" t="s">
        <v>378</v>
      </c>
      <c r="C60" s="91" t="s">
        <v>61</v>
      </c>
      <c r="D60" s="113"/>
      <c r="E60" s="166">
        <v>12</v>
      </c>
      <c r="F60" s="563"/>
      <c r="G60" s="575"/>
      <c r="I60" s="61" t="e">
        <f>#REF!</f>
        <v>#REF!</v>
      </c>
      <c r="J60" s="43"/>
    </row>
    <row r="61" spans="1:10" s="38" customFormat="1" ht="15.75" customHeight="1">
      <c r="A61" s="181" t="s">
        <v>112</v>
      </c>
      <c r="B61" s="91" t="s">
        <v>335</v>
      </c>
      <c r="C61" s="91" t="s">
        <v>61</v>
      </c>
      <c r="D61" s="113"/>
      <c r="E61" s="166">
        <v>4</v>
      </c>
      <c r="F61" s="563"/>
      <c r="G61" s="575"/>
      <c r="I61" s="27" t="e">
        <f>#REF!</f>
        <v>#REF!</v>
      </c>
      <c r="J61" s="39"/>
    </row>
    <row r="62" spans="1:9" s="32" customFormat="1" ht="15.75" customHeight="1">
      <c r="A62" s="181" t="s">
        <v>113</v>
      </c>
      <c r="B62" s="91" t="s">
        <v>334</v>
      </c>
      <c r="C62" s="91" t="s">
        <v>61</v>
      </c>
      <c r="D62" s="113"/>
      <c r="E62" s="166">
        <v>4</v>
      </c>
      <c r="F62" s="563"/>
      <c r="G62" s="575"/>
      <c r="I62" s="9">
        <f>G60</f>
        <v>0</v>
      </c>
    </row>
    <row r="63" spans="1:10" s="38" customFormat="1" ht="18" customHeight="1">
      <c r="A63" s="181" t="s">
        <v>71</v>
      </c>
      <c r="B63" s="91" t="s">
        <v>376</v>
      </c>
      <c r="C63" s="91" t="s">
        <v>53</v>
      </c>
      <c r="D63" s="113"/>
      <c r="E63" s="166">
        <v>10</v>
      </c>
      <c r="F63" s="563"/>
      <c r="G63" s="575"/>
      <c r="I63" s="9">
        <f>G61</f>
        <v>0</v>
      </c>
      <c r="J63" s="39"/>
    </row>
    <row r="64" spans="1:9" s="33" customFormat="1" ht="15.75" customHeight="1">
      <c r="A64" s="181" t="s">
        <v>75</v>
      </c>
      <c r="B64" s="91" t="s">
        <v>380</v>
      </c>
      <c r="C64" s="91" t="s">
        <v>53</v>
      </c>
      <c r="D64" s="113"/>
      <c r="E64" s="166">
        <v>30</v>
      </c>
      <c r="F64" s="563"/>
      <c r="G64" s="575"/>
      <c r="I64" s="9">
        <f>G62</f>
        <v>0</v>
      </c>
    </row>
    <row r="65" spans="1:9" s="4" customFormat="1" ht="15.75" customHeight="1">
      <c r="A65" s="181" t="s">
        <v>76</v>
      </c>
      <c r="B65" s="91" t="s">
        <v>506</v>
      </c>
      <c r="C65" s="91" t="s">
        <v>53</v>
      </c>
      <c r="D65" s="113"/>
      <c r="E65" s="166">
        <v>8</v>
      </c>
      <c r="F65" s="563"/>
      <c r="G65" s="575"/>
      <c r="I65" s="9">
        <f>G63</f>
        <v>0</v>
      </c>
    </row>
    <row r="66" spans="1:9" s="2" customFormat="1" ht="15.75" customHeight="1">
      <c r="A66" s="181" t="s">
        <v>126</v>
      </c>
      <c r="B66" s="91" t="s">
        <v>338</v>
      </c>
      <c r="C66" s="91" t="s">
        <v>53</v>
      </c>
      <c r="D66" s="113"/>
      <c r="E66" s="166">
        <v>1</v>
      </c>
      <c r="F66" s="563"/>
      <c r="G66" s="575"/>
      <c r="I66" s="9">
        <f>G65</f>
        <v>0</v>
      </c>
    </row>
    <row r="67" spans="1:10" s="38" customFormat="1" ht="15.75" customHeight="1">
      <c r="A67" s="181" t="s">
        <v>121</v>
      </c>
      <c r="B67" s="91" t="s">
        <v>377</v>
      </c>
      <c r="C67" s="91" t="s">
        <v>53</v>
      </c>
      <c r="D67" s="113"/>
      <c r="E67" s="166">
        <v>1</v>
      </c>
      <c r="F67" s="563"/>
      <c r="G67" s="575"/>
      <c r="I67" s="9">
        <f>G66</f>
        <v>0</v>
      </c>
      <c r="J67" s="39"/>
    </row>
    <row r="68" spans="1:10" s="38" customFormat="1" ht="15.75" customHeight="1">
      <c r="A68" s="181" t="s">
        <v>122</v>
      </c>
      <c r="B68" s="91" t="s">
        <v>244</v>
      </c>
      <c r="C68" s="91" t="s">
        <v>53</v>
      </c>
      <c r="D68" s="113"/>
      <c r="E68" s="166">
        <v>3</v>
      </c>
      <c r="F68" s="563"/>
      <c r="G68" s="575"/>
      <c r="I68" s="9" t="e">
        <f>#REF!</f>
        <v>#REF!</v>
      </c>
      <c r="J68" s="39"/>
    </row>
    <row r="69" spans="1:10" s="38" customFormat="1" ht="15.75" customHeight="1">
      <c r="A69" s="181" t="s">
        <v>152</v>
      </c>
      <c r="B69" s="91" t="s">
        <v>245</v>
      </c>
      <c r="C69" s="91" t="s">
        <v>53</v>
      </c>
      <c r="D69" s="113"/>
      <c r="E69" s="166">
        <v>1</v>
      </c>
      <c r="F69" s="563"/>
      <c r="G69" s="575"/>
      <c r="I69" s="9">
        <f>G67</f>
        <v>0</v>
      </c>
      <c r="J69" s="39"/>
    </row>
    <row r="70" spans="1:10" s="38" customFormat="1" ht="20.25" customHeight="1">
      <c r="A70" s="181" t="s">
        <v>189</v>
      </c>
      <c r="B70" s="91" t="s">
        <v>374</v>
      </c>
      <c r="C70" s="91" t="s">
        <v>53</v>
      </c>
      <c r="D70" s="113"/>
      <c r="E70" s="166">
        <v>1</v>
      </c>
      <c r="F70" s="563"/>
      <c r="G70" s="575"/>
      <c r="I70" s="9">
        <f>G68</f>
        <v>0</v>
      </c>
      <c r="J70" s="39"/>
    </row>
    <row r="71" spans="1:10" s="38" customFormat="1" ht="17.25" customHeight="1">
      <c r="A71" s="181" t="s">
        <v>123</v>
      </c>
      <c r="B71" s="91" t="s">
        <v>507</v>
      </c>
      <c r="C71" s="91" t="s">
        <v>53</v>
      </c>
      <c r="D71" s="113"/>
      <c r="E71" s="166">
        <v>6</v>
      </c>
      <c r="F71" s="563"/>
      <c r="G71" s="575"/>
      <c r="I71" s="9">
        <f>G69</f>
        <v>0</v>
      </c>
      <c r="J71" s="39"/>
    </row>
    <row r="72" spans="1:10" s="38" customFormat="1" ht="15.75" customHeight="1">
      <c r="A72" s="181" t="s">
        <v>144</v>
      </c>
      <c r="B72" s="91" t="s">
        <v>375</v>
      </c>
      <c r="C72" s="91" t="s">
        <v>53</v>
      </c>
      <c r="D72" s="113"/>
      <c r="E72" s="166">
        <v>2</v>
      </c>
      <c r="F72" s="563"/>
      <c r="G72" s="575"/>
      <c r="I72" s="9"/>
      <c r="J72" s="39"/>
    </row>
    <row r="73" spans="1:10" s="38" customFormat="1" ht="15.75" customHeight="1">
      <c r="A73" s="181" t="s">
        <v>97</v>
      </c>
      <c r="B73" s="91" t="s">
        <v>248</v>
      </c>
      <c r="C73" s="91" t="s">
        <v>130</v>
      </c>
      <c r="D73" s="113"/>
      <c r="E73" s="166">
        <v>2</v>
      </c>
      <c r="F73" s="563"/>
      <c r="G73" s="575"/>
      <c r="I73" s="9">
        <f>G71</f>
        <v>0</v>
      </c>
      <c r="J73" s="39"/>
    </row>
    <row r="74" spans="1:10" s="38" customFormat="1" ht="20.25" customHeight="1">
      <c r="A74" s="181" t="s">
        <v>91</v>
      </c>
      <c r="B74" s="91" t="s">
        <v>249</v>
      </c>
      <c r="C74" s="113" t="s">
        <v>59</v>
      </c>
      <c r="D74" s="113"/>
      <c r="E74" s="122">
        <v>0.84</v>
      </c>
      <c r="F74" s="563"/>
      <c r="G74" s="575"/>
      <c r="I74" s="9">
        <f>G73</f>
        <v>0</v>
      </c>
      <c r="J74" s="39"/>
    </row>
    <row r="75" spans="1:10" s="38" customFormat="1" ht="18" customHeight="1">
      <c r="A75" s="181" t="s">
        <v>81</v>
      </c>
      <c r="B75" s="91" t="s">
        <v>250</v>
      </c>
      <c r="C75" s="91" t="s">
        <v>251</v>
      </c>
      <c r="D75" s="113"/>
      <c r="E75" s="166">
        <v>5</v>
      </c>
      <c r="F75" s="563"/>
      <c r="G75" s="575"/>
      <c r="I75" s="9">
        <f>G75</f>
        <v>0</v>
      </c>
      <c r="J75" s="39"/>
    </row>
    <row r="76" spans="1:7" s="44" customFormat="1" ht="24.75" customHeight="1">
      <c r="A76" s="198"/>
      <c r="B76" s="431" t="s">
        <v>930</v>
      </c>
      <c r="C76" s="133"/>
      <c r="D76" s="420"/>
      <c r="E76" s="420"/>
      <c r="F76" s="572"/>
      <c r="G76" s="507"/>
    </row>
    <row r="77" spans="1:10" ht="24.75" customHeight="1">
      <c r="A77" s="121"/>
      <c r="B77" s="133" t="s">
        <v>206</v>
      </c>
      <c r="C77" s="91" t="s">
        <v>54</v>
      </c>
      <c r="D77" s="91"/>
      <c r="E77" s="86"/>
      <c r="F77" s="516"/>
      <c r="G77" s="507"/>
      <c r="J77" s="8"/>
    </row>
    <row r="78" spans="1:9" s="3" customFormat="1" ht="24" customHeight="1">
      <c r="A78" s="121"/>
      <c r="B78" s="91" t="s">
        <v>43</v>
      </c>
      <c r="C78" s="91" t="s">
        <v>54</v>
      </c>
      <c r="D78" s="91"/>
      <c r="E78" s="130" t="e">
        <f>#REF!</f>
        <v>#REF!</v>
      </c>
      <c r="F78" s="516"/>
      <c r="G78" s="517"/>
      <c r="H78" s="11"/>
      <c r="I78" s="7"/>
    </row>
    <row r="79" spans="1:13" s="24" customFormat="1" ht="20.25" customHeight="1">
      <c r="A79" s="234"/>
      <c r="B79" s="133" t="s">
        <v>55</v>
      </c>
      <c r="C79" s="133" t="s">
        <v>54</v>
      </c>
      <c r="D79" s="133"/>
      <c r="E79" s="133"/>
      <c r="F79" s="510"/>
      <c r="G79" s="507"/>
      <c r="H79" s="19"/>
      <c r="I79" s="18"/>
      <c r="J79" s="23"/>
      <c r="K79" s="23"/>
      <c r="L79" s="23"/>
      <c r="M79" s="23"/>
    </row>
    <row r="80" spans="1:9" ht="17.25" customHeight="1">
      <c r="A80" s="121"/>
      <c r="B80" s="91" t="s">
        <v>69</v>
      </c>
      <c r="C80" s="91" t="s">
        <v>54</v>
      </c>
      <c r="D80" s="91"/>
      <c r="E80" s="130" t="e">
        <f>#REF!</f>
        <v>#REF!</v>
      </c>
      <c r="F80" s="516"/>
      <c r="G80" s="517"/>
      <c r="H80" s="3"/>
      <c r="I80" s="3"/>
    </row>
    <row r="81" spans="1:9" ht="19.5" customHeight="1">
      <c r="A81" s="234"/>
      <c r="B81" s="133" t="s">
        <v>443</v>
      </c>
      <c r="C81" s="133" t="s">
        <v>54</v>
      </c>
      <c r="D81" s="133"/>
      <c r="E81" s="235"/>
      <c r="F81" s="510"/>
      <c r="G81" s="507"/>
      <c r="H81" s="3"/>
      <c r="I81" s="3"/>
    </row>
    <row r="82" spans="1:9" ht="18.75" customHeight="1">
      <c r="A82" s="240"/>
      <c r="B82" s="431" t="s">
        <v>931</v>
      </c>
      <c r="C82" s="231"/>
      <c r="D82" s="241"/>
      <c r="E82" s="241"/>
      <c r="F82" s="596"/>
      <c r="G82" s="597"/>
      <c r="H82" s="7"/>
      <c r="I82" s="3"/>
    </row>
    <row r="83" spans="1:9" ht="21" customHeight="1">
      <c r="A83" s="239" t="s">
        <v>51</v>
      </c>
      <c r="B83" s="190" t="s">
        <v>379</v>
      </c>
      <c r="C83" s="190" t="s">
        <v>130</v>
      </c>
      <c r="D83" s="193"/>
      <c r="E83" s="182">
        <v>1</v>
      </c>
      <c r="F83" s="563"/>
      <c r="G83" s="575"/>
      <c r="H83" s="3"/>
      <c r="I83" s="2"/>
    </row>
    <row r="84" spans="1:7" ht="24.75" customHeight="1">
      <c r="A84" s="239" t="s">
        <v>67</v>
      </c>
      <c r="B84" s="190" t="s">
        <v>508</v>
      </c>
      <c r="C84" s="190" t="s">
        <v>130</v>
      </c>
      <c r="D84" s="193"/>
      <c r="E84" s="182">
        <v>1</v>
      </c>
      <c r="F84" s="563"/>
      <c r="G84" s="575"/>
    </row>
    <row r="85" spans="1:7" ht="25.5" customHeight="1">
      <c r="A85" s="239" t="s">
        <v>112</v>
      </c>
      <c r="B85" s="190" t="s">
        <v>509</v>
      </c>
      <c r="C85" s="190" t="s">
        <v>130</v>
      </c>
      <c r="D85" s="193"/>
      <c r="E85" s="182">
        <v>1</v>
      </c>
      <c r="F85" s="563"/>
      <c r="G85" s="575"/>
    </row>
    <row r="86" spans="1:7" ht="22.5" customHeight="1">
      <c r="A86" s="239" t="s">
        <v>113</v>
      </c>
      <c r="B86" s="443" t="s">
        <v>510</v>
      </c>
      <c r="C86" s="190" t="s">
        <v>130</v>
      </c>
      <c r="D86" s="193"/>
      <c r="E86" s="182">
        <v>1</v>
      </c>
      <c r="F86" s="563"/>
      <c r="G86" s="575"/>
    </row>
    <row r="87" spans="1:7" ht="26.25" customHeight="1">
      <c r="A87" s="239" t="s">
        <v>71</v>
      </c>
      <c r="B87" s="190" t="s">
        <v>511</v>
      </c>
      <c r="C87" s="190" t="s">
        <v>130</v>
      </c>
      <c r="D87" s="193"/>
      <c r="E87" s="182">
        <v>1</v>
      </c>
      <c r="F87" s="563"/>
      <c r="G87" s="575"/>
    </row>
    <row r="88" spans="1:7" ht="24.75" customHeight="1">
      <c r="A88" s="240"/>
      <c r="B88" s="431" t="s">
        <v>622</v>
      </c>
      <c r="C88" s="231" t="s">
        <v>54</v>
      </c>
      <c r="D88" s="241"/>
      <c r="E88" s="241"/>
      <c r="F88" s="596"/>
      <c r="G88" s="598"/>
    </row>
    <row r="89" spans="1:7" ht="29.25" customHeight="1">
      <c r="A89" s="234"/>
      <c r="B89" s="133" t="s">
        <v>449</v>
      </c>
      <c r="C89" s="133" t="s">
        <v>54</v>
      </c>
      <c r="D89" s="133"/>
      <c r="E89" s="235"/>
      <c r="F89" s="510"/>
      <c r="G89" s="507"/>
    </row>
    <row r="90" spans="1:7" ht="5.25" customHeight="1">
      <c r="A90" s="136"/>
      <c r="B90" s="88"/>
      <c r="C90" s="77"/>
      <c r="D90" s="138"/>
      <c r="E90" s="138"/>
      <c r="F90" s="442"/>
      <c r="G90" s="429"/>
    </row>
    <row r="91" spans="1:7" ht="15.75">
      <c r="A91" s="136"/>
      <c r="B91" s="88"/>
      <c r="C91" s="77"/>
      <c r="D91" s="138"/>
      <c r="E91" s="138"/>
      <c r="F91" s="138"/>
      <c r="G91" s="94"/>
    </row>
    <row r="92" spans="1:7" ht="19.5" customHeight="1">
      <c r="A92" s="139"/>
      <c r="B92" s="468" t="s">
        <v>886</v>
      </c>
      <c r="C92" s="468"/>
      <c r="D92" s="468"/>
      <c r="E92" s="468"/>
      <c r="F92" s="468"/>
      <c r="G92" s="468"/>
    </row>
    <row r="93" spans="1:7" ht="15.75">
      <c r="A93" s="143"/>
      <c r="B93" s="140"/>
      <c r="C93" s="140"/>
      <c r="D93" s="140"/>
      <c r="E93" s="140"/>
      <c r="F93" s="140"/>
      <c r="G93" s="142"/>
    </row>
    <row r="94" spans="1:7" ht="15.75">
      <c r="A94" s="143"/>
      <c r="B94" s="77"/>
      <c r="C94" s="77"/>
      <c r="D94" s="77"/>
      <c r="E94" s="171"/>
      <c r="F94" s="77"/>
      <c r="G94" s="94"/>
    </row>
  </sheetData>
  <sheetProtection password="CF2D" sheet="1"/>
  <mergeCells count="10">
    <mergeCell ref="A1:G1"/>
    <mergeCell ref="A2:G2"/>
    <mergeCell ref="A3:G3"/>
    <mergeCell ref="A4:G4"/>
    <mergeCell ref="B92:G92"/>
    <mergeCell ref="A5:A6"/>
    <mergeCell ref="B5:B6"/>
    <mergeCell ref="C5:C6"/>
    <mergeCell ref="D5:E5"/>
    <mergeCell ref="F5:G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V70"/>
  <sheetViews>
    <sheetView zoomScalePageLayoutView="0" workbookViewId="0" topLeftCell="A1">
      <selection activeCell="F7" sqref="F7:G57"/>
    </sheetView>
  </sheetViews>
  <sheetFormatPr defaultColWidth="9.140625" defaultRowHeight="12.75"/>
  <cols>
    <col min="1" max="1" width="4.140625" style="13" customWidth="1"/>
    <col min="2" max="2" width="43.8515625" style="1" customWidth="1"/>
    <col min="3" max="4" width="6.7109375" style="1" customWidth="1"/>
    <col min="5" max="5" width="8.8515625" style="1" customWidth="1"/>
    <col min="6" max="6" width="6.8515625" style="1" customWidth="1"/>
    <col min="7" max="8" width="10.28125" style="11" customWidth="1"/>
    <col min="9" max="9" width="9.00390625" style="11" customWidth="1"/>
    <col min="10" max="10" width="7.57421875" style="3" customWidth="1"/>
    <col min="11" max="13" width="9.140625" style="3" customWidth="1"/>
    <col min="14" max="16384" width="9.140625" style="1" customWidth="1"/>
  </cols>
  <sheetData>
    <row r="1" spans="1:9" ht="45" customHeight="1">
      <c r="A1" s="486" t="s">
        <v>824</v>
      </c>
      <c r="B1" s="458"/>
      <c r="C1" s="458"/>
      <c r="D1" s="458"/>
      <c r="E1" s="458"/>
      <c r="F1" s="458"/>
      <c r="G1" s="458"/>
      <c r="H1" s="45"/>
      <c r="I1" s="3"/>
    </row>
    <row r="2" spans="1:9" ht="18" customHeight="1">
      <c r="A2" s="471" t="s">
        <v>328</v>
      </c>
      <c r="B2" s="471"/>
      <c r="C2" s="471"/>
      <c r="D2" s="471"/>
      <c r="E2" s="471"/>
      <c r="F2" s="471"/>
      <c r="G2" s="471"/>
      <c r="H2" s="23"/>
      <c r="I2" s="3"/>
    </row>
    <row r="3" spans="1:9" ht="18" customHeight="1">
      <c r="A3" s="475" t="s">
        <v>341</v>
      </c>
      <c r="B3" s="475"/>
      <c r="C3" s="475"/>
      <c r="D3" s="475"/>
      <c r="E3" s="475"/>
      <c r="F3" s="475"/>
      <c r="G3" s="475"/>
      <c r="H3" s="23"/>
      <c r="I3" s="3"/>
    </row>
    <row r="4" spans="1:10" ht="28.5" customHeight="1">
      <c r="A4" s="461" t="s">
        <v>46</v>
      </c>
      <c r="B4" s="472" t="s">
        <v>47</v>
      </c>
      <c r="C4" s="466" t="s">
        <v>45</v>
      </c>
      <c r="D4" s="465" t="s">
        <v>48</v>
      </c>
      <c r="E4" s="465"/>
      <c r="F4" s="465" t="s">
        <v>41</v>
      </c>
      <c r="G4" s="465"/>
      <c r="H4" s="15"/>
      <c r="I4" s="10"/>
      <c r="J4" s="10"/>
    </row>
    <row r="5" spans="1:10" ht="58.5" customHeight="1">
      <c r="A5" s="461"/>
      <c r="B5" s="472"/>
      <c r="C5" s="466"/>
      <c r="D5" s="95" t="s">
        <v>49</v>
      </c>
      <c r="E5" s="95" t="s">
        <v>50</v>
      </c>
      <c r="F5" s="95" t="s">
        <v>49</v>
      </c>
      <c r="G5" s="304" t="s">
        <v>50</v>
      </c>
      <c r="H5" s="12"/>
      <c r="I5" s="12"/>
      <c r="J5" s="10"/>
    </row>
    <row r="6" spans="1:13" s="5" customFormat="1" ht="14.25" customHeight="1">
      <c r="A6" s="198" t="s">
        <v>51</v>
      </c>
      <c r="B6" s="248">
        <v>3</v>
      </c>
      <c r="C6" s="248">
        <v>4</v>
      </c>
      <c r="D6" s="248">
        <v>5</v>
      </c>
      <c r="E6" s="248">
        <v>6</v>
      </c>
      <c r="F6" s="248">
        <v>7</v>
      </c>
      <c r="G6" s="234">
        <v>8</v>
      </c>
      <c r="H6" s="9"/>
      <c r="I6" s="9"/>
      <c r="J6" s="14"/>
      <c r="K6" s="6"/>
      <c r="L6" s="6"/>
      <c r="M6" s="6"/>
    </row>
    <row r="7" spans="1:10" s="5" customFormat="1" ht="35.25" customHeight="1">
      <c r="A7" s="234">
        <v>1</v>
      </c>
      <c r="B7" s="133" t="s">
        <v>139</v>
      </c>
      <c r="C7" s="133" t="s">
        <v>59</v>
      </c>
      <c r="D7" s="358"/>
      <c r="E7" s="351">
        <v>38</v>
      </c>
      <c r="F7" s="510"/>
      <c r="G7" s="511"/>
      <c r="H7" s="55"/>
      <c r="I7" s="9"/>
      <c r="J7" s="56"/>
    </row>
    <row r="8" spans="1:10" s="4" customFormat="1" ht="15.75" customHeight="1">
      <c r="A8" s="181"/>
      <c r="B8" s="91" t="s">
        <v>66</v>
      </c>
      <c r="C8" s="91" t="s">
        <v>44</v>
      </c>
      <c r="D8" s="91">
        <f>1.15*2.06</f>
        <v>2.3689999999999998</v>
      </c>
      <c r="E8" s="86">
        <f>E7*D8</f>
        <v>90.02199999999999</v>
      </c>
      <c r="F8" s="518"/>
      <c r="G8" s="513"/>
      <c r="H8" s="8"/>
      <c r="I8" s="9"/>
      <c r="J8" s="57"/>
    </row>
    <row r="9" spans="1:13" ht="42.75" customHeight="1">
      <c r="A9" s="234">
        <v>2</v>
      </c>
      <c r="B9" s="133" t="s">
        <v>587</v>
      </c>
      <c r="C9" s="133" t="s">
        <v>61</v>
      </c>
      <c r="D9" s="133"/>
      <c r="E9" s="242">
        <v>76</v>
      </c>
      <c r="F9" s="510"/>
      <c r="G9" s="511"/>
      <c r="H9" s="55"/>
      <c r="I9" s="9"/>
      <c r="J9" s="1"/>
      <c r="K9" s="1"/>
      <c r="L9" s="1"/>
      <c r="M9" s="1"/>
    </row>
    <row r="10" spans="1:13" ht="15.75" customHeight="1">
      <c r="A10" s="181"/>
      <c r="B10" s="91" t="s">
        <v>234</v>
      </c>
      <c r="C10" s="91" t="s">
        <v>44</v>
      </c>
      <c r="D10" s="91">
        <f>1.15*0.0959</f>
        <v>0.110285</v>
      </c>
      <c r="E10" s="86">
        <f>D10*E9</f>
        <v>8.38166</v>
      </c>
      <c r="F10" s="518"/>
      <c r="G10" s="513"/>
      <c r="H10" s="1"/>
      <c r="I10" s="9"/>
      <c r="J10" s="57"/>
      <c r="K10" s="1"/>
      <c r="L10" s="1"/>
      <c r="M10" s="1"/>
    </row>
    <row r="11" spans="1:13" ht="15.75" customHeight="1">
      <c r="A11" s="181"/>
      <c r="B11" s="91" t="s">
        <v>85</v>
      </c>
      <c r="C11" s="91" t="s">
        <v>54</v>
      </c>
      <c r="D11" s="91">
        <f>1.15*0.0452</f>
        <v>0.05197999999999999</v>
      </c>
      <c r="E11" s="86">
        <f>E9*D11</f>
        <v>3.9504799999999993</v>
      </c>
      <c r="F11" s="518"/>
      <c r="G11" s="513"/>
      <c r="H11" s="1"/>
      <c r="I11" s="9"/>
      <c r="J11" s="1"/>
      <c r="K11" s="1"/>
      <c r="L11" s="1"/>
      <c r="M11" s="1"/>
    </row>
    <row r="12" spans="1:10" s="38" customFormat="1" ht="15.75" customHeight="1">
      <c r="A12" s="181"/>
      <c r="B12" s="91" t="s">
        <v>383</v>
      </c>
      <c r="C12" s="91" t="s">
        <v>79</v>
      </c>
      <c r="D12" s="113">
        <v>1</v>
      </c>
      <c r="E12" s="166">
        <f>E9*D12</f>
        <v>76</v>
      </c>
      <c r="F12" s="519"/>
      <c r="G12" s="509"/>
      <c r="I12" s="9"/>
      <c r="J12" s="39"/>
    </row>
    <row r="13" spans="1:10" s="42" customFormat="1" ht="15.75" customHeight="1">
      <c r="A13" s="181"/>
      <c r="B13" s="91" t="s">
        <v>382</v>
      </c>
      <c r="C13" s="91" t="s">
        <v>53</v>
      </c>
      <c r="D13" s="113"/>
      <c r="E13" s="166">
        <v>25</v>
      </c>
      <c r="F13" s="519"/>
      <c r="G13" s="509"/>
      <c r="I13" s="9"/>
      <c r="J13" s="43"/>
    </row>
    <row r="14" spans="1:13" ht="22.5" customHeight="1">
      <c r="A14" s="181"/>
      <c r="B14" s="91" t="s">
        <v>63</v>
      </c>
      <c r="C14" s="91" t="s">
        <v>54</v>
      </c>
      <c r="D14" s="91">
        <v>0.0006</v>
      </c>
      <c r="E14" s="86">
        <f>D14*E9</f>
        <v>0.045599999999999995</v>
      </c>
      <c r="F14" s="518"/>
      <c r="G14" s="513"/>
      <c r="H14" s="1"/>
      <c r="I14" s="9"/>
      <c r="J14" s="1"/>
      <c r="K14" s="1"/>
      <c r="L14" s="1"/>
      <c r="M14" s="1"/>
    </row>
    <row r="15" spans="1:13" ht="37.5" customHeight="1">
      <c r="A15" s="347">
        <v>3</v>
      </c>
      <c r="B15" s="133" t="s">
        <v>512</v>
      </c>
      <c r="C15" s="133" t="s">
        <v>53</v>
      </c>
      <c r="D15" s="133"/>
      <c r="E15" s="234">
        <v>2</v>
      </c>
      <c r="F15" s="510"/>
      <c r="G15" s="527"/>
      <c r="H15" s="55"/>
      <c r="I15" s="9"/>
      <c r="J15" s="1"/>
      <c r="K15" s="1"/>
      <c r="L15" s="1"/>
      <c r="M15" s="1"/>
    </row>
    <row r="16" spans="1:13" ht="17.25" customHeight="1">
      <c r="A16" s="236"/>
      <c r="B16" s="91" t="s">
        <v>235</v>
      </c>
      <c r="C16" s="91" t="s">
        <v>44</v>
      </c>
      <c r="D16" s="91">
        <f>1.15*1.38</f>
        <v>1.5869999999999997</v>
      </c>
      <c r="E16" s="86">
        <f>D16*E15</f>
        <v>3.1739999999999995</v>
      </c>
      <c r="F16" s="518"/>
      <c r="G16" s="513"/>
      <c r="H16" s="1"/>
      <c r="I16" s="9"/>
      <c r="J16" s="57"/>
      <c r="K16" s="1"/>
      <c r="L16" s="1"/>
      <c r="M16" s="1"/>
    </row>
    <row r="17" spans="1:13" ht="19.5" customHeight="1">
      <c r="A17" s="236"/>
      <c r="B17" s="91" t="s">
        <v>143</v>
      </c>
      <c r="C17" s="91" t="s">
        <v>54</v>
      </c>
      <c r="D17" s="91">
        <f>1.15*0.06</f>
        <v>0.06899999999999999</v>
      </c>
      <c r="E17" s="86">
        <f>D17*E15</f>
        <v>0.13799999999999998</v>
      </c>
      <c r="F17" s="518"/>
      <c r="G17" s="522"/>
      <c r="H17" s="1"/>
      <c r="I17" s="9"/>
      <c r="J17" s="1"/>
      <c r="K17" s="1"/>
      <c r="L17" s="1"/>
      <c r="M17" s="1"/>
    </row>
    <row r="18" spans="1:10" s="38" customFormat="1" ht="18.75" customHeight="1">
      <c r="A18" s="236"/>
      <c r="B18" s="91" t="s">
        <v>513</v>
      </c>
      <c r="C18" s="91" t="s">
        <v>53</v>
      </c>
      <c r="D18" s="113">
        <v>1</v>
      </c>
      <c r="E18" s="166">
        <f>E15*D18</f>
        <v>2</v>
      </c>
      <c r="F18" s="519"/>
      <c r="G18" s="531"/>
      <c r="I18" s="9"/>
      <c r="J18" s="39"/>
    </row>
    <row r="19" spans="1:13" ht="15.75" customHeight="1">
      <c r="A19" s="239"/>
      <c r="B19" s="91" t="s">
        <v>63</v>
      </c>
      <c r="C19" s="91" t="s">
        <v>54</v>
      </c>
      <c r="D19" s="91">
        <v>0.38</v>
      </c>
      <c r="E19" s="86">
        <f>D19*E15</f>
        <v>0.76</v>
      </c>
      <c r="F19" s="518"/>
      <c r="G19" s="522"/>
      <c r="H19" s="1"/>
      <c r="I19" s="9"/>
      <c r="J19" s="1"/>
      <c r="K19" s="1"/>
      <c r="L19" s="1"/>
      <c r="M19" s="1"/>
    </row>
    <row r="20" spans="1:13" ht="37.5" customHeight="1">
      <c r="A20" s="234">
        <v>4</v>
      </c>
      <c r="B20" s="133" t="s">
        <v>238</v>
      </c>
      <c r="C20" s="133" t="s">
        <v>64</v>
      </c>
      <c r="D20" s="133"/>
      <c r="E20" s="234">
        <v>1</v>
      </c>
      <c r="F20" s="510"/>
      <c r="G20" s="527"/>
      <c r="H20" s="55"/>
      <c r="I20" s="9"/>
      <c r="J20" s="58"/>
      <c r="K20" s="58"/>
      <c r="L20" s="1"/>
      <c r="M20" s="1"/>
    </row>
    <row r="21" spans="1:13" ht="20.25" customHeight="1">
      <c r="A21" s="181"/>
      <c r="B21" s="91" t="s">
        <v>239</v>
      </c>
      <c r="C21" s="91" t="s">
        <v>44</v>
      </c>
      <c r="D21" s="91">
        <f>1.15*1.24</f>
        <v>1.426</v>
      </c>
      <c r="E21" s="86">
        <f>D21*E20</f>
        <v>1.426</v>
      </c>
      <c r="F21" s="518"/>
      <c r="G21" s="513"/>
      <c r="H21" s="9"/>
      <c r="I21" s="9"/>
      <c r="J21" s="57"/>
      <c r="K21" s="58"/>
      <c r="L21" s="1"/>
      <c r="M21" s="1"/>
    </row>
    <row r="22" spans="1:13" ht="18" customHeight="1">
      <c r="A22" s="181"/>
      <c r="B22" s="91" t="s">
        <v>240</v>
      </c>
      <c r="C22" s="91" t="s">
        <v>54</v>
      </c>
      <c r="D22" s="91">
        <f>1.15*0.26</f>
        <v>0.299</v>
      </c>
      <c r="E22" s="86">
        <f>D22*E20</f>
        <v>0.299</v>
      </c>
      <c r="F22" s="518"/>
      <c r="G22" s="513"/>
      <c r="H22" s="8"/>
      <c r="I22" s="9"/>
      <c r="J22" s="58"/>
      <c r="K22" s="58"/>
      <c r="L22" s="1"/>
      <c r="M22" s="1"/>
    </row>
    <row r="23" spans="1:22" ht="19.5" customHeight="1">
      <c r="A23" s="181"/>
      <c r="B23" s="91" t="s">
        <v>241</v>
      </c>
      <c r="C23" s="91" t="s">
        <v>95</v>
      </c>
      <c r="D23" s="91">
        <v>1</v>
      </c>
      <c r="E23" s="121">
        <f>E20*D23</f>
        <v>1</v>
      </c>
      <c r="F23" s="518"/>
      <c r="G23" s="513"/>
      <c r="H23" s="8"/>
      <c r="I23" s="9"/>
      <c r="J23" s="10"/>
      <c r="K23" s="10"/>
      <c r="N23" s="3"/>
      <c r="O23" s="3"/>
      <c r="P23" s="3"/>
      <c r="Q23" s="3"/>
      <c r="R23" s="3"/>
      <c r="S23" s="3"/>
      <c r="T23" s="3"/>
      <c r="U23" s="3"/>
      <c r="V23" s="3"/>
    </row>
    <row r="24" spans="1:13" ht="19.5" customHeight="1">
      <c r="A24" s="181"/>
      <c r="B24" s="91" t="s">
        <v>63</v>
      </c>
      <c r="C24" s="91" t="s">
        <v>54</v>
      </c>
      <c r="D24" s="91">
        <v>0.14</v>
      </c>
      <c r="E24" s="86">
        <f>D24*E20</f>
        <v>0.14</v>
      </c>
      <c r="F24" s="518"/>
      <c r="G24" s="513"/>
      <c r="H24" s="8"/>
      <c r="I24" s="9"/>
      <c r="J24" s="58"/>
      <c r="K24" s="58"/>
      <c r="L24" s="1"/>
      <c r="M24" s="1"/>
    </row>
    <row r="25" spans="1:13" ht="40.5" customHeight="1">
      <c r="A25" s="234">
        <v>5</v>
      </c>
      <c r="B25" s="133" t="s">
        <v>462</v>
      </c>
      <c r="C25" s="133" t="s">
        <v>61</v>
      </c>
      <c r="D25" s="133"/>
      <c r="E25" s="351">
        <v>31</v>
      </c>
      <c r="F25" s="510"/>
      <c r="G25" s="527"/>
      <c r="H25" s="55"/>
      <c r="I25" s="9"/>
      <c r="J25" s="1"/>
      <c r="K25" s="1"/>
      <c r="L25" s="1"/>
      <c r="M25" s="1"/>
    </row>
    <row r="26" spans="1:13" ht="20.25" customHeight="1">
      <c r="A26" s="181"/>
      <c r="B26" s="91" t="s">
        <v>82</v>
      </c>
      <c r="C26" s="91" t="s">
        <v>44</v>
      </c>
      <c r="D26" s="114">
        <f>1.15*0.391</f>
        <v>0.44965</v>
      </c>
      <c r="E26" s="86">
        <f>D26*E25</f>
        <v>13.93915</v>
      </c>
      <c r="F26" s="518"/>
      <c r="G26" s="522"/>
      <c r="H26" s="1"/>
      <c r="I26" s="9"/>
      <c r="J26" s="53"/>
      <c r="K26" s="1"/>
      <c r="L26" s="1"/>
      <c r="M26" s="1"/>
    </row>
    <row r="27" spans="1:13" ht="24" customHeight="1">
      <c r="A27" s="181"/>
      <c r="B27" s="91" t="s">
        <v>83</v>
      </c>
      <c r="C27" s="91" t="s">
        <v>54</v>
      </c>
      <c r="D27" s="91">
        <f>1.15*0.0321</f>
        <v>0.036914999999999996</v>
      </c>
      <c r="E27" s="86">
        <f>E25*D27</f>
        <v>1.1443649999999999</v>
      </c>
      <c r="F27" s="518"/>
      <c r="G27" s="522"/>
      <c r="H27" s="1"/>
      <c r="I27" s="9"/>
      <c r="J27" s="1"/>
      <c r="K27" s="1"/>
      <c r="L27" s="1"/>
      <c r="M27" s="1"/>
    </row>
    <row r="28" spans="1:9" s="3" customFormat="1" ht="24" customHeight="1">
      <c r="A28" s="181"/>
      <c r="B28" s="91" t="s">
        <v>323</v>
      </c>
      <c r="C28" s="91" t="s">
        <v>79</v>
      </c>
      <c r="D28" s="91">
        <v>1</v>
      </c>
      <c r="E28" s="86">
        <f>E25*D28</f>
        <v>31</v>
      </c>
      <c r="F28" s="518"/>
      <c r="G28" s="522"/>
      <c r="I28" s="9"/>
    </row>
    <row r="29" spans="1:13" ht="19.5" customHeight="1">
      <c r="A29" s="181"/>
      <c r="B29" s="91" t="s">
        <v>324</v>
      </c>
      <c r="C29" s="91" t="s">
        <v>53</v>
      </c>
      <c r="D29" s="91"/>
      <c r="E29" s="315">
        <v>5</v>
      </c>
      <c r="F29" s="518"/>
      <c r="G29" s="522"/>
      <c r="H29" s="1"/>
      <c r="I29" s="9"/>
      <c r="J29" s="1"/>
      <c r="K29" s="1"/>
      <c r="L29" s="1"/>
      <c r="M29" s="1"/>
    </row>
    <row r="30" spans="1:13" ht="20.25" customHeight="1">
      <c r="A30" s="181"/>
      <c r="B30" s="91" t="s">
        <v>63</v>
      </c>
      <c r="C30" s="91" t="s">
        <v>54</v>
      </c>
      <c r="D30" s="91">
        <v>0.0174</v>
      </c>
      <c r="E30" s="86">
        <f>D30*E25</f>
        <v>0.5394</v>
      </c>
      <c r="F30" s="518"/>
      <c r="G30" s="522"/>
      <c r="H30" s="1"/>
      <c r="I30" s="9"/>
      <c r="J30" s="1"/>
      <c r="K30" s="1"/>
      <c r="L30" s="1"/>
      <c r="M30" s="1"/>
    </row>
    <row r="31" spans="1:9" s="31" customFormat="1" ht="51" customHeight="1">
      <c r="A31" s="234">
        <v>6</v>
      </c>
      <c r="B31" s="133" t="s">
        <v>384</v>
      </c>
      <c r="C31" s="133" t="s">
        <v>52</v>
      </c>
      <c r="D31" s="199"/>
      <c r="E31" s="403">
        <v>1</v>
      </c>
      <c r="F31" s="506"/>
      <c r="G31" s="507"/>
      <c r="H31" s="55"/>
      <c r="I31" s="9"/>
    </row>
    <row r="32" spans="1:13" ht="18.75" customHeight="1">
      <c r="A32" s="181"/>
      <c r="B32" s="91" t="s">
        <v>230</v>
      </c>
      <c r="C32" s="91" t="s">
        <v>44</v>
      </c>
      <c r="D32" s="113">
        <f>1.15*26.6</f>
        <v>30.59</v>
      </c>
      <c r="E32" s="122">
        <f>E31*D32</f>
        <v>30.59</v>
      </c>
      <c r="F32" s="518"/>
      <c r="G32" s="509"/>
      <c r="H32" s="8"/>
      <c r="I32" s="9"/>
      <c r="J32" s="59"/>
      <c r="K32" s="1"/>
      <c r="L32" s="1"/>
      <c r="M32" s="1"/>
    </row>
    <row r="33" spans="1:13" ht="24" customHeight="1">
      <c r="A33" s="181"/>
      <c r="B33" s="91" t="s">
        <v>140</v>
      </c>
      <c r="C33" s="91" t="s">
        <v>54</v>
      </c>
      <c r="D33" s="113">
        <f>1.15*0.305</f>
        <v>0.35074999999999995</v>
      </c>
      <c r="E33" s="122">
        <f>E31*D33</f>
        <v>0.35074999999999995</v>
      </c>
      <c r="F33" s="519"/>
      <c r="G33" s="509"/>
      <c r="H33" s="8"/>
      <c r="I33" s="9"/>
      <c r="J33" s="60"/>
      <c r="K33" s="1"/>
      <c r="L33" s="1"/>
      <c r="M33" s="1"/>
    </row>
    <row r="34" spans="1:22" ht="25.5" customHeight="1">
      <c r="A34" s="181"/>
      <c r="B34" s="91" t="s">
        <v>385</v>
      </c>
      <c r="C34" s="91" t="s">
        <v>52</v>
      </c>
      <c r="D34" s="113">
        <v>1.02</v>
      </c>
      <c r="E34" s="313">
        <v>1.015</v>
      </c>
      <c r="F34" s="518"/>
      <c r="G34" s="509"/>
      <c r="I34" s="9"/>
      <c r="J34" s="41"/>
      <c r="N34" s="3"/>
      <c r="O34" s="3"/>
      <c r="P34" s="3"/>
      <c r="Q34" s="3"/>
      <c r="R34" s="3"/>
      <c r="S34" s="3"/>
      <c r="T34" s="3"/>
      <c r="U34" s="3"/>
      <c r="V34" s="3"/>
    </row>
    <row r="35" spans="1:22" ht="21.75" customHeight="1">
      <c r="A35" s="181"/>
      <c r="B35" s="91" t="s">
        <v>88</v>
      </c>
      <c r="C35" s="91" t="s">
        <v>78</v>
      </c>
      <c r="D35" s="113">
        <v>0.004</v>
      </c>
      <c r="E35" s="183">
        <f>E31*D35</f>
        <v>0.004</v>
      </c>
      <c r="F35" s="519"/>
      <c r="G35" s="509"/>
      <c r="I35" s="9"/>
      <c r="J35" s="41"/>
      <c r="N35" s="3"/>
      <c r="O35" s="3"/>
      <c r="P35" s="3"/>
      <c r="Q35" s="3"/>
      <c r="R35" s="3"/>
      <c r="S35" s="3"/>
      <c r="T35" s="3"/>
      <c r="U35" s="3"/>
      <c r="V35" s="3"/>
    </row>
    <row r="36" spans="1:22" ht="24" customHeight="1">
      <c r="A36" s="181"/>
      <c r="B36" s="91" t="s">
        <v>141</v>
      </c>
      <c r="C36" s="91" t="s">
        <v>52</v>
      </c>
      <c r="D36" s="113">
        <v>0.05</v>
      </c>
      <c r="E36" s="122">
        <f>E31*D36</f>
        <v>0.05</v>
      </c>
      <c r="F36" s="519"/>
      <c r="G36" s="509"/>
      <c r="I36" s="9"/>
      <c r="J36" s="41"/>
      <c r="N36" s="3"/>
      <c r="O36" s="3"/>
      <c r="P36" s="3"/>
      <c r="Q36" s="3"/>
      <c r="R36" s="3"/>
      <c r="S36" s="3"/>
      <c r="T36" s="3"/>
      <c r="U36" s="3"/>
      <c r="V36" s="3"/>
    </row>
    <row r="37" spans="1:22" ht="23.25" customHeight="1">
      <c r="A37" s="181"/>
      <c r="B37" s="91" t="s">
        <v>386</v>
      </c>
      <c r="C37" s="91" t="s">
        <v>52</v>
      </c>
      <c r="D37" s="113">
        <v>0.138</v>
      </c>
      <c r="E37" s="122">
        <f>E31*D37</f>
        <v>0.138</v>
      </c>
      <c r="F37" s="519"/>
      <c r="G37" s="509"/>
      <c r="I37" s="9"/>
      <c r="J37" s="41"/>
      <c r="N37" s="3"/>
      <c r="O37" s="3"/>
      <c r="P37" s="3"/>
      <c r="Q37" s="3"/>
      <c r="R37" s="3"/>
      <c r="S37" s="3"/>
      <c r="T37" s="3"/>
      <c r="U37" s="3"/>
      <c r="V37" s="3"/>
    </row>
    <row r="38" spans="1:22" ht="22.5" customHeight="1">
      <c r="A38" s="181"/>
      <c r="B38" s="91" t="s">
        <v>142</v>
      </c>
      <c r="C38" s="113" t="s">
        <v>53</v>
      </c>
      <c r="D38" s="113">
        <v>2</v>
      </c>
      <c r="E38" s="166">
        <f>D38*E31</f>
        <v>2</v>
      </c>
      <c r="F38" s="519"/>
      <c r="G38" s="509"/>
      <c r="I38" s="9"/>
      <c r="J38" s="41"/>
      <c r="N38" s="3"/>
      <c r="O38" s="3"/>
      <c r="P38" s="3"/>
      <c r="Q38" s="3"/>
      <c r="R38" s="3"/>
      <c r="S38" s="3"/>
      <c r="T38" s="3"/>
      <c r="U38" s="3"/>
      <c r="V38" s="3"/>
    </row>
    <row r="39" spans="1:13" ht="23.25" customHeight="1">
      <c r="A39" s="181"/>
      <c r="B39" s="91" t="s">
        <v>63</v>
      </c>
      <c r="C39" s="91" t="s">
        <v>54</v>
      </c>
      <c r="D39" s="113">
        <v>1.84</v>
      </c>
      <c r="E39" s="122">
        <f>E31*D39</f>
        <v>1.84</v>
      </c>
      <c r="F39" s="519"/>
      <c r="G39" s="509"/>
      <c r="I39" s="9"/>
      <c r="J39" s="60"/>
      <c r="K39" s="1"/>
      <c r="L39" s="1"/>
      <c r="M39" s="1"/>
    </row>
    <row r="40" spans="1:13" ht="37.5" customHeight="1">
      <c r="A40" s="234">
        <v>7</v>
      </c>
      <c r="B40" s="133" t="s">
        <v>514</v>
      </c>
      <c r="C40" s="133" t="s">
        <v>64</v>
      </c>
      <c r="D40" s="133"/>
      <c r="E40" s="234">
        <v>1</v>
      </c>
      <c r="F40" s="510"/>
      <c r="G40" s="511"/>
      <c r="H40" s="55"/>
      <c r="I40" s="9"/>
      <c r="J40" s="1"/>
      <c r="K40" s="1"/>
      <c r="L40" s="1"/>
      <c r="M40" s="1"/>
    </row>
    <row r="41" spans="1:13" ht="22.5" customHeight="1">
      <c r="A41" s="181"/>
      <c r="B41" s="91" t="s">
        <v>231</v>
      </c>
      <c r="C41" s="91" t="s">
        <v>44</v>
      </c>
      <c r="D41" s="91">
        <f>1.15*17</f>
        <v>19.549999999999997</v>
      </c>
      <c r="E41" s="86">
        <f>D41*E40</f>
        <v>19.549999999999997</v>
      </c>
      <c r="F41" s="518"/>
      <c r="G41" s="513"/>
      <c r="H41" s="1"/>
      <c r="I41" s="9"/>
      <c r="J41" s="53"/>
      <c r="K41" s="1"/>
      <c r="L41" s="1"/>
      <c r="M41" s="1"/>
    </row>
    <row r="42" spans="1:13" ht="22.5" customHeight="1">
      <c r="A42" s="181"/>
      <c r="B42" s="91" t="s">
        <v>387</v>
      </c>
      <c r="C42" s="91" t="s">
        <v>52</v>
      </c>
      <c r="D42" s="91">
        <v>0.05</v>
      </c>
      <c r="E42" s="91">
        <f>E40*D42</f>
        <v>0.05</v>
      </c>
      <c r="F42" s="518"/>
      <c r="G42" s="513"/>
      <c r="H42" s="1"/>
      <c r="I42" s="9"/>
      <c r="J42" s="1"/>
      <c r="K42" s="1"/>
      <c r="L42" s="1"/>
      <c r="M42" s="1"/>
    </row>
    <row r="43" spans="1:13" ht="15.75" customHeight="1">
      <c r="A43" s="181"/>
      <c r="B43" s="91" t="s">
        <v>232</v>
      </c>
      <c r="C43" s="91" t="s">
        <v>233</v>
      </c>
      <c r="D43" s="91">
        <v>0.2</v>
      </c>
      <c r="E43" s="86">
        <f>E40*D43</f>
        <v>0.2</v>
      </c>
      <c r="F43" s="518"/>
      <c r="G43" s="513"/>
      <c r="H43" s="1"/>
      <c r="I43" s="9"/>
      <c r="J43" s="1"/>
      <c r="K43" s="1"/>
      <c r="L43" s="1"/>
      <c r="M43" s="1"/>
    </row>
    <row r="44" spans="1:13" ht="22.5" customHeight="1">
      <c r="A44" s="181"/>
      <c r="B44" s="91" t="s">
        <v>63</v>
      </c>
      <c r="C44" s="91" t="s">
        <v>54</v>
      </c>
      <c r="D44" s="91">
        <v>1.08</v>
      </c>
      <c r="E44" s="86">
        <f>D44*E40</f>
        <v>1.08</v>
      </c>
      <c r="F44" s="518"/>
      <c r="G44" s="513"/>
      <c r="H44" s="1"/>
      <c r="I44" s="9"/>
      <c r="J44" s="1"/>
      <c r="K44" s="1"/>
      <c r="L44" s="1"/>
      <c r="M44" s="1"/>
    </row>
    <row r="45" spans="1:10" s="5" customFormat="1" ht="36" customHeight="1">
      <c r="A45" s="198" t="s">
        <v>126</v>
      </c>
      <c r="B45" s="133" t="s">
        <v>522</v>
      </c>
      <c r="C45" s="133" t="s">
        <v>59</v>
      </c>
      <c r="D45" s="358"/>
      <c r="E45" s="351">
        <v>35</v>
      </c>
      <c r="F45" s="510"/>
      <c r="G45" s="511"/>
      <c r="H45" s="55"/>
      <c r="I45" s="9"/>
      <c r="J45" s="56"/>
    </row>
    <row r="46" spans="1:10" s="4" customFormat="1" ht="18.75" customHeight="1">
      <c r="A46" s="181"/>
      <c r="B46" s="91" t="s">
        <v>86</v>
      </c>
      <c r="C46" s="91" t="s">
        <v>44</v>
      </c>
      <c r="D46" s="91">
        <f>1.15*1.21</f>
        <v>1.3915</v>
      </c>
      <c r="E46" s="86">
        <f>E45*D46</f>
        <v>48.7025</v>
      </c>
      <c r="F46" s="518"/>
      <c r="G46" s="513"/>
      <c r="H46" s="8"/>
      <c r="I46" s="9"/>
      <c r="J46" s="57"/>
    </row>
    <row r="47" spans="1:13" s="5" customFormat="1" ht="52.5" customHeight="1">
      <c r="A47" s="132" t="s">
        <v>121</v>
      </c>
      <c r="B47" s="133" t="s">
        <v>519</v>
      </c>
      <c r="C47" s="133" t="s">
        <v>52</v>
      </c>
      <c r="D47" s="133"/>
      <c r="E47" s="243">
        <v>3</v>
      </c>
      <c r="F47" s="510"/>
      <c r="G47" s="527"/>
      <c r="H47" s="28"/>
      <c r="I47" s="11"/>
      <c r="J47" s="11"/>
      <c r="K47" s="3"/>
      <c r="L47" s="6"/>
      <c r="M47" s="6"/>
    </row>
    <row r="48" spans="1:11" s="5" customFormat="1" ht="24.75" customHeight="1">
      <c r="A48" s="104"/>
      <c r="B48" s="91" t="s">
        <v>515</v>
      </c>
      <c r="C48" s="91" t="s">
        <v>44</v>
      </c>
      <c r="D48" s="91">
        <v>0.0132</v>
      </c>
      <c r="E48" s="86">
        <f>E47*D48</f>
        <v>0.039599999999999996</v>
      </c>
      <c r="F48" s="518"/>
      <c r="G48" s="522"/>
      <c r="H48" s="29"/>
      <c r="I48" s="11"/>
      <c r="J48" s="8"/>
      <c r="K48" s="3"/>
    </row>
    <row r="49" spans="1:11" s="5" customFormat="1" ht="22.5" customHeight="1">
      <c r="A49" s="104"/>
      <c r="B49" s="91" t="s">
        <v>516</v>
      </c>
      <c r="C49" s="91" t="s">
        <v>62</v>
      </c>
      <c r="D49" s="91">
        <v>0.0295</v>
      </c>
      <c r="E49" s="86">
        <f>E47*D49</f>
        <v>0.0885</v>
      </c>
      <c r="F49" s="518"/>
      <c r="G49" s="522"/>
      <c r="H49" s="29"/>
      <c r="I49" s="11"/>
      <c r="J49" s="8"/>
      <c r="K49" s="3"/>
    </row>
    <row r="50" spans="1:11" s="4" customFormat="1" ht="17.25" customHeight="1">
      <c r="A50" s="104"/>
      <c r="B50" s="91" t="s">
        <v>517</v>
      </c>
      <c r="C50" s="91" t="s">
        <v>54</v>
      </c>
      <c r="D50" s="91">
        <v>0.00021</v>
      </c>
      <c r="E50" s="86">
        <f>E47*D50</f>
        <v>0.00063</v>
      </c>
      <c r="F50" s="518"/>
      <c r="G50" s="522"/>
      <c r="H50" s="29"/>
      <c r="I50" s="11"/>
      <c r="J50" s="3"/>
      <c r="K50" s="3"/>
    </row>
    <row r="51" spans="1:13" ht="34.5" customHeight="1">
      <c r="A51" s="234">
        <v>10</v>
      </c>
      <c r="B51" s="133" t="s">
        <v>518</v>
      </c>
      <c r="C51" s="133" t="s">
        <v>72</v>
      </c>
      <c r="D51" s="133"/>
      <c r="E51" s="243">
        <v>5.25</v>
      </c>
      <c r="F51" s="514"/>
      <c r="G51" s="530"/>
      <c r="H51" s="28"/>
      <c r="I51" s="19"/>
      <c r="J51" s="19"/>
      <c r="K51" s="23"/>
      <c r="L51" s="1"/>
      <c r="M51" s="1"/>
    </row>
    <row r="52" spans="1:13" ht="24" customHeight="1">
      <c r="A52" s="104"/>
      <c r="B52" s="91" t="s">
        <v>523</v>
      </c>
      <c r="C52" s="91" t="s">
        <v>72</v>
      </c>
      <c r="D52" s="91">
        <v>1</v>
      </c>
      <c r="E52" s="121">
        <f>E51*D52</f>
        <v>5.25</v>
      </c>
      <c r="F52" s="515"/>
      <c r="G52" s="531"/>
      <c r="H52" s="29"/>
      <c r="L52" s="1"/>
      <c r="M52" s="1"/>
    </row>
    <row r="53" spans="1:13" ht="27.75" customHeight="1">
      <c r="A53" s="121"/>
      <c r="B53" s="199" t="s">
        <v>185</v>
      </c>
      <c r="C53" s="91" t="s">
        <v>54</v>
      </c>
      <c r="D53" s="91"/>
      <c r="E53" s="86"/>
      <c r="F53" s="516"/>
      <c r="G53" s="507"/>
      <c r="I53" s="3"/>
      <c r="L53" s="1"/>
      <c r="M53" s="1"/>
    </row>
    <row r="54" spans="1:11" s="38" customFormat="1" ht="19.5" customHeight="1">
      <c r="A54" s="121"/>
      <c r="B54" s="91" t="s">
        <v>43</v>
      </c>
      <c r="C54" s="91" t="s">
        <v>54</v>
      </c>
      <c r="D54" s="91"/>
      <c r="E54" s="130">
        <v>0.1</v>
      </c>
      <c r="F54" s="516"/>
      <c r="G54" s="517"/>
      <c r="H54" s="11"/>
      <c r="I54" s="11"/>
      <c r="J54" s="3"/>
      <c r="K54" s="3"/>
    </row>
    <row r="55" spans="1:13" ht="15.75" customHeight="1">
      <c r="A55" s="234"/>
      <c r="B55" s="133" t="s">
        <v>55</v>
      </c>
      <c r="C55" s="133" t="s">
        <v>54</v>
      </c>
      <c r="D55" s="133"/>
      <c r="E55" s="133"/>
      <c r="F55" s="510"/>
      <c r="G55" s="507"/>
      <c r="L55" s="1"/>
      <c r="M55" s="1"/>
    </row>
    <row r="56" spans="1:11" s="4" customFormat="1" ht="21" customHeight="1">
      <c r="A56" s="121"/>
      <c r="B56" s="91" t="s">
        <v>69</v>
      </c>
      <c r="C56" s="91" t="s">
        <v>54</v>
      </c>
      <c r="D56" s="91"/>
      <c r="E56" s="130">
        <v>0.08</v>
      </c>
      <c r="F56" s="516"/>
      <c r="G56" s="517"/>
      <c r="H56" s="11"/>
      <c r="I56" s="11"/>
      <c r="J56" s="3"/>
      <c r="K56" s="3"/>
    </row>
    <row r="57" spans="1:11" s="4" customFormat="1" ht="24" customHeight="1">
      <c r="A57" s="234"/>
      <c r="B57" s="133" t="s">
        <v>60</v>
      </c>
      <c r="C57" s="133" t="s">
        <v>54</v>
      </c>
      <c r="D57" s="133"/>
      <c r="E57" s="235"/>
      <c r="F57" s="510"/>
      <c r="G57" s="507"/>
      <c r="H57" s="11"/>
      <c r="I57" s="11"/>
      <c r="J57" s="3"/>
      <c r="K57" s="3"/>
    </row>
    <row r="58" spans="1:11" s="4" customFormat="1" ht="15.75" customHeight="1">
      <c r="A58" s="136"/>
      <c r="B58" s="88"/>
      <c r="C58" s="77"/>
      <c r="D58" s="138"/>
      <c r="E58" s="138"/>
      <c r="F58" s="442"/>
      <c r="G58" s="429"/>
      <c r="H58" s="11"/>
      <c r="I58" s="11"/>
      <c r="J58" s="3"/>
      <c r="K58" s="3"/>
    </row>
    <row r="59" spans="1:11" s="2" customFormat="1" ht="20.25" customHeight="1">
      <c r="A59" s="136"/>
      <c r="B59" s="456" t="s">
        <v>886</v>
      </c>
      <c r="C59" s="456"/>
      <c r="D59" s="456"/>
      <c r="E59" s="456"/>
      <c r="F59" s="456"/>
      <c r="G59" s="456"/>
      <c r="H59" s="11"/>
      <c r="I59" s="11"/>
      <c r="J59" s="3"/>
      <c r="K59" s="3"/>
    </row>
    <row r="60" spans="1:11" s="38" customFormat="1" ht="15.75" customHeight="1">
      <c r="A60" s="139"/>
      <c r="B60" s="140"/>
      <c r="C60" s="467"/>
      <c r="D60" s="467"/>
      <c r="E60" s="467"/>
      <c r="F60" s="141"/>
      <c r="G60" s="142"/>
      <c r="H60" s="11"/>
      <c r="I60" s="11"/>
      <c r="J60" s="3"/>
      <c r="K60" s="3"/>
    </row>
    <row r="61" spans="1:11" s="38" customFormat="1" ht="15.75" customHeight="1">
      <c r="A61" s="143"/>
      <c r="B61" s="140"/>
      <c r="C61" s="140"/>
      <c r="D61" s="140"/>
      <c r="E61" s="140"/>
      <c r="F61" s="140"/>
      <c r="G61" s="142"/>
      <c r="H61" s="11"/>
      <c r="I61" s="11"/>
      <c r="J61" s="3"/>
      <c r="K61" s="3"/>
    </row>
    <row r="62" spans="1:11" s="4" customFormat="1" ht="15.75" customHeight="1">
      <c r="A62" s="13"/>
      <c r="B62" s="1"/>
      <c r="C62" s="1"/>
      <c r="D62" s="1"/>
      <c r="E62" s="1"/>
      <c r="F62" s="1"/>
      <c r="G62" s="11"/>
      <c r="H62" s="11"/>
      <c r="I62" s="11"/>
      <c r="J62" s="3"/>
      <c r="K62" s="3"/>
    </row>
    <row r="63" spans="1:11" s="5" customFormat="1" ht="38.25" customHeight="1">
      <c r="A63" s="13"/>
      <c r="B63" s="1"/>
      <c r="C63" s="1"/>
      <c r="D63" s="1"/>
      <c r="E63" s="1"/>
      <c r="F63" s="1"/>
      <c r="G63" s="11"/>
      <c r="H63" s="11"/>
      <c r="I63" s="11"/>
      <c r="J63" s="3"/>
      <c r="K63" s="3"/>
    </row>
    <row r="64" spans="1:11" s="4" customFormat="1" ht="19.5" customHeight="1">
      <c r="A64" s="13"/>
      <c r="B64" s="1"/>
      <c r="C64" s="1"/>
      <c r="D64" s="1"/>
      <c r="E64" s="1"/>
      <c r="F64" s="1"/>
      <c r="G64" s="11"/>
      <c r="H64" s="11"/>
      <c r="I64" s="11"/>
      <c r="J64" s="3"/>
      <c r="K64" s="3"/>
    </row>
    <row r="65" ht="18" customHeight="1"/>
    <row r="66" ht="18" customHeight="1"/>
    <row r="67" ht="18" customHeight="1"/>
    <row r="68" spans="1:13" s="24" customFormat="1" ht="18" customHeight="1">
      <c r="A68" s="13"/>
      <c r="B68" s="1"/>
      <c r="C68" s="1"/>
      <c r="D68" s="1"/>
      <c r="E68" s="1"/>
      <c r="F68" s="1"/>
      <c r="G68" s="11"/>
      <c r="H68" s="11"/>
      <c r="I68" s="11"/>
      <c r="J68" s="3"/>
      <c r="K68" s="3"/>
      <c r="L68" s="23"/>
      <c r="M68" s="23"/>
    </row>
    <row r="69" ht="18" customHeight="1"/>
    <row r="70" spans="1:13" s="24" customFormat="1" ht="18" customHeight="1">
      <c r="A70" s="13"/>
      <c r="B70" s="1"/>
      <c r="C70" s="1"/>
      <c r="D70" s="1"/>
      <c r="E70" s="1"/>
      <c r="F70" s="1"/>
      <c r="G70" s="11"/>
      <c r="H70" s="11"/>
      <c r="I70" s="11"/>
      <c r="J70" s="3"/>
      <c r="K70" s="3"/>
      <c r="L70" s="23"/>
      <c r="M70" s="23"/>
    </row>
    <row r="73" ht="15.75" customHeight="1"/>
  </sheetData>
  <sheetProtection password="CF2D" sheet="1"/>
  <mergeCells count="10">
    <mergeCell ref="A1:G1"/>
    <mergeCell ref="A2:G2"/>
    <mergeCell ref="A3:G3"/>
    <mergeCell ref="C60:E60"/>
    <mergeCell ref="A4:A5"/>
    <mergeCell ref="B4:B5"/>
    <mergeCell ref="C4:C5"/>
    <mergeCell ref="D4:E4"/>
    <mergeCell ref="B59:G59"/>
    <mergeCell ref="F4:G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V75"/>
  <sheetViews>
    <sheetView zoomScalePageLayoutView="0" workbookViewId="0" topLeftCell="A1">
      <selection activeCell="F7" sqref="F7:G40"/>
    </sheetView>
  </sheetViews>
  <sheetFormatPr defaultColWidth="9.140625" defaultRowHeight="12.75"/>
  <cols>
    <col min="1" max="1" width="4.140625" style="13" customWidth="1"/>
    <col min="2" max="2" width="42.140625" style="1" customWidth="1"/>
    <col min="3" max="4" width="6.7109375" style="1" customWidth="1"/>
    <col min="5" max="5" width="8.8515625" style="1" customWidth="1"/>
    <col min="6" max="6" width="10.421875" style="1" customWidth="1"/>
    <col min="7" max="7" width="13.421875" style="11" customWidth="1"/>
    <col min="8" max="8" width="10.28125" style="11" customWidth="1"/>
    <col min="9" max="9" width="9.00390625" style="11" customWidth="1"/>
    <col min="10" max="10" width="7.57421875" style="3" customWidth="1"/>
    <col min="11" max="13" width="9.140625" style="3" customWidth="1"/>
    <col min="14" max="16384" width="9.140625" style="1" customWidth="1"/>
  </cols>
  <sheetData>
    <row r="1" spans="1:9" ht="48" customHeight="1">
      <c r="A1" s="469" t="s">
        <v>824</v>
      </c>
      <c r="B1" s="498"/>
      <c r="C1" s="498"/>
      <c r="D1" s="498"/>
      <c r="E1" s="498"/>
      <c r="F1" s="498"/>
      <c r="G1" s="498"/>
      <c r="H1" s="45"/>
      <c r="I1" s="3"/>
    </row>
    <row r="2" spans="1:9" ht="20.25" customHeight="1">
      <c r="A2" s="475" t="s">
        <v>784</v>
      </c>
      <c r="B2" s="475"/>
      <c r="C2" s="475"/>
      <c r="D2" s="475"/>
      <c r="E2" s="475"/>
      <c r="F2" s="475"/>
      <c r="G2" s="475"/>
      <c r="H2" s="23"/>
      <c r="I2" s="3"/>
    </row>
    <row r="3" spans="1:9" ht="18" customHeight="1" thickBot="1">
      <c r="A3" s="475" t="s">
        <v>342</v>
      </c>
      <c r="B3" s="475"/>
      <c r="C3" s="475"/>
      <c r="D3" s="475"/>
      <c r="E3" s="475"/>
      <c r="F3" s="475"/>
      <c r="G3" s="475"/>
      <c r="H3" s="23"/>
      <c r="I3" s="3"/>
    </row>
    <row r="4" spans="1:10" ht="28.5" customHeight="1">
      <c r="A4" s="476" t="s">
        <v>46</v>
      </c>
      <c r="B4" s="478" t="s">
        <v>47</v>
      </c>
      <c r="C4" s="480" t="s">
        <v>45</v>
      </c>
      <c r="D4" s="473" t="s">
        <v>48</v>
      </c>
      <c r="E4" s="482"/>
      <c r="F4" s="473" t="s">
        <v>41</v>
      </c>
      <c r="G4" s="474"/>
      <c r="H4" s="15"/>
      <c r="I4" s="10"/>
      <c r="J4" s="10"/>
    </row>
    <row r="5" spans="1:10" ht="58.5" customHeight="1">
      <c r="A5" s="477"/>
      <c r="B5" s="479"/>
      <c r="C5" s="481"/>
      <c r="D5" s="95" t="s">
        <v>49</v>
      </c>
      <c r="E5" s="95" t="s">
        <v>50</v>
      </c>
      <c r="F5" s="95" t="s">
        <v>49</v>
      </c>
      <c r="G5" s="96" t="s">
        <v>50</v>
      </c>
      <c r="H5" s="12"/>
      <c r="I5" s="12"/>
      <c r="J5" s="10"/>
    </row>
    <row r="6" spans="1:13" s="5" customFormat="1" ht="14.25" customHeight="1" thickBot="1">
      <c r="A6" s="97" t="s">
        <v>51</v>
      </c>
      <c r="B6" s="98">
        <v>3</v>
      </c>
      <c r="C6" s="98">
        <v>4</v>
      </c>
      <c r="D6" s="98">
        <v>5</v>
      </c>
      <c r="E6" s="98">
        <v>6</v>
      </c>
      <c r="F6" s="98">
        <v>7</v>
      </c>
      <c r="G6" s="99">
        <v>8</v>
      </c>
      <c r="H6" s="9"/>
      <c r="I6" s="9"/>
      <c r="J6" s="14"/>
      <c r="K6" s="6"/>
      <c r="L6" s="6"/>
      <c r="M6" s="6"/>
    </row>
    <row r="7" spans="1:10" s="5" customFormat="1" ht="47.25" customHeight="1" thickTop="1">
      <c r="A7" s="316">
        <v>1</v>
      </c>
      <c r="B7" s="201" t="s">
        <v>139</v>
      </c>
      <c r="C7" s="201" t="s">
        <v>59</v>
      </c>
      <c r="D7" s="317"/>
      <c r="E7" s="314">
        <v>18</v>
      </c>
      <c r="F7" s="543"/>
      <c r="G7" s="544"/>
      <c r="H7" s="55"/>
      <c r="I7" s="9"/>
      <c r="J7" s="56"/>
    </row>
    <row r="8" spans="1:10" s="4" customFormat="1" ht="22.5" customHeight="1" thickBot="1">
      <c r="A8" s="194"/>
      <c r="B8" s="195" t="s">
        <v>66</v>
      </c>
      <c r="C8" s="195" t="s">
        <v>44</v>
      </c>
      <c r="D8" s="195">
        <f>1.15*2.06</f>
        <v>2.3689999999999998</v>
      </c>
      <c r="E8" s="318">
        <f>E7*D8</f>
        <v>42.641999999999996</v>
      </c>
      <c r="F8" s="599"/>
      <c r="G8" s="600"/>
      <c r="H8" s="8"/>
      <c r="I8" s="9"/>
      <c r="J8" s="57"/>
    </row>
    <row r="9" spans="1:13" ht="49.5" customHeight="1">
      <c r="A9" s="106">
        <v>5</v>
      </c>
      <c r="B9" s="107" t="s">
        <v>588</v>
      </c>
      <c r="C9" s="107" t="s">
        <v>61</v>
      </c>
      <c r="D9" s="107"/>
      <c r="E9" s="202">
        <v>34</v>
      </c>
      <c r="F9" s="548"/>
      <c r="G9" s="601"/>
      <c r="H9" s="55"/>
      <c r="I9" s="9"/>
      <c r="J9" s="1"/>
      <c r="K9" s="1"/>
      <c r="L9" s="427"/>
      <c r="M9" s="1"/>
    </row>
    <row r="10" spans="1:13" ht="24.75" customHeight="1">
      <c r="A10" s="82"/>
      <c r="B10" s="91" t="s">
        <v>82</v>
      </c>
      <c r="C10" s="91" t="s">
        <v>44</v>
      </c>
      <c r="D10" s="114">
        <f>1.15*0.391</f>
        <v>0.44965</v>
      </c>
      <c r="E10" s="86">
        <f>D10*E9</f>
        <v>15.2881</v>
      </c>
      <c r="F10" s="518"/>
      <c r="G10" s="602"/>
      <c r="H10" s="1"/>
      <c r="I10" s="9"/>
      <c r="J10" s="53"/>
      <c r="K10" s="1"/>
      <c r="L10" s="1"/>
      <c r="M10" s="1"/>
    </row>
    <row r="11" spans="1:13" ht="19.5" customHeight="1">
      <c r="A11" s="82"/>
      <c r="B11" s="91" t="s">
        <v>83</v>
      </c>
      <c r="C11" s="91" t="s">
        <v>54</v>
      </c>
      <c r="D11" s="91">
        <f>1.15*0.0321</f>
        <v>0.036914999999999996</v>
      </c>
      <c r="E11" s="86">
        <f>E9*D11</f>
        <v>1.25511</v>
      </c>
      <c r="F11" s="518"/>
      <c r="G11" s="602"/>
      <c r="H11" s="1"/>
      <c r="I11" s="9"/>
      <c r="J11" s="1"/>
      <c r="K11" s="1"/>
      <c r="L11" s="1"/>
      <c r="M11" s="1"/>
    </row>
    <row r="12" spans="1:10" s="38" customFormat="1" ht="19.5" customHeight="1">
      <c r="A12" s="82"/>
      <c r="B12" s="91" t="s">
        <v>323</v>
      </c>
      <c r="C12" s="91" t="s">
        <v>79</v>
      </c>
      <c r="D12" s="91">
        <v>1</v>
      </c>
      <c r="E12" s="86">
        <f>E9*D12</f>
        <v>34</v>
      </c>
      <c r="F12" s="518"/>
      <c r="G12" s="602"/>
      <c r="H12" s="3"/>
      <c r="I12" s="9"/>
      <c r="J12" s="3"/>
    </row>
    <row r="13" spans="1:10" s="42" customFormat="1" ht="21" customHeight="1">
      <c r="A13" s="82"/>
      <c r="B13" s="91" t="s">
        <v>324</v>
      </c>
      <c r="C13" s="91" t="s">
        <v>53</v>
      </c>
      <c r="D13" s="91"/>
      <c r="E13" s="315">
        <v>5</v>
      </c>
      <c r="F13" s="518"/>
      <c r="G13" s="602"/>
      <c r="H13" s="1"/>
      <c r="I13" s="9"/>
      <c r="J13" s="1"/>
    </row>
    <row r="14" spans="1:13" ht="39" customHeight="1" thickBot="1">
      <c r="A14" s="84"/>
      <c r="B14" s="115" t="s">
        <v>63</v>
      </c>
      <c r="C14" s="110" t="s">
        <v>54</v>
      </c>
      <c r="D14" s="110">
        <v>0.0174</v>
      </c>
      <c r="E14" s="111">
        <f>D14*E9</f>
        <v>0.5915999999999999</v>
      </c>
      <c r="F14" s="599"/>
      <c r="G14" s="603"/>
      <c r="H14" s="55"/>
      <c r="I14" s="9"/>
      <c r="J14" s="1"/>
      <c r="K14" s="1"/>
      <c r="L14" s="1"/>
      <c r="M14" s="1"/>
    </row>
    <row r="15" spans="1:13" ht="48" customHeight="1">
      <c r="A15" s="106">
        <v>3</v>
      </c>
      <c r="B15" s="107" t="s">
        <v>520</v>
      </c>
      <c r="C15" s="107" t="s">
        <v>61</v>
      </c>
      <c r="D15" s="107"/>
      <c r="E15" s="109">
        <v>140</v>
      </c>
      <c r="F15" s="548"/>
      <c r="G15" s="549"/>
      <c r="H15" s="55"/>
      <c r="I15" s="9"/>
      <c r="J15" s="4"/>
      <c r="K15" s="58"/>
      <c r="L15" s="1"/>
      <c r="M15" s="1"/>
    </row>
    <row r="16" spans="1:13" ht="35.25" customHeight="1">
      <c r="A16" s="82"/>
      <c r="B16" s="91" t="s">
        <v>8</v>
      </c>
      <c r="C16" s="91" t="s">
        <v>44</v>
      </c>
      <c r="D16" s="91">
        <f>1.15*0.105</f>
        <v>0.12074999999999998</v>
      </c>
      <c r="E16" s="86">
        <f>D16*E15</f>
        <v>16.904999999999998</v>
      </c>
      <c r="F16" s="518"/>
      <c r="G16" s="604"/>
      <c r="H16" s="4"/>
      <c r="I16" s="9"/>
      <c r="J16" s="57"/>
      <c r="K16" s="58"/>
      <c r="L16" s="1"/>
      <c r="M16" s="1"/>
    </row>
    <row r="17" spans="1:13" ht="35.25" customHeight="1">
      <c r="A17" s="82"/>
      <c r="B17" s="91" t="s">
        <v>9</v>
      </c>
      <c r="C17" s="91" t="s">
        <v>54</v>
      </c>
      <c r="D17" s="91">
        <f>1.15*0.0538</f>
        <v>0.061869999999999994</v>
      </c>
      <c r="E17" s="86">
        <f>E15*D17</f>
        <v>8.6618</v>
      </c>
      <c r="F17" s="518"/>
      <c r="G17" s="604"/>
      <c r="H17" s="4"/>
      <c r="I17" s="9"/>
      <c r="J17" s="4"/>
      <c r="K17" s="58"/>
      <c r="L17" s="1"/>
      <c r="M17" s="1"/>
    </row>
    <row r="18" spans="1:13" ht="35.25" customHeight="1">
      <c r="A18" s="82"/>
      <c r="B18" s="91" t="s">
        <v>381</v>
      </c>
      <c r="C18" s="91" t="s">
        <v>61</v>
      </c>
      <c r="D18" s="163">
        <v>1</v>
      </c>
      <c r="E18" s="165">
        <f>D18*E15</f>
        <v>140</v>
      </c>
      <c r="F18" s="605"/>
      <c r="G18" s="560"/>
      <c r="H18" s="38"/>
      <c r="I18" s="9"/>
      <c r="J18" s="38"/>
      <c r="K18" s="58"/>
      <c r="L18" s="1"/>
      <c r="M18" s="1"/>
    </row>
    <row r="19" spans="1:13" ht="21.75" customHeight="1">
      <c r="A19" s="82"/>
      <c r="B19" s="91" t="s">
        <v>521</v>
      </c>
      <c r="C19" s="91" t="s">
        <v>53</v>
      </c>
      <c r="D19" s="163"/>
      <c r="E19" s="165">
        <v>50</v>
      </c>
      <c r="F19" s="605"/>
      <c r="G19" s="560"/>
      <c r="H19" s="38"/>
      <c r="I19" s="9"/>
      <c r="J19" s="38"/>
      <c r="K19" s="1"/>
      <c r="L19" s="1"/>
      <c r="M19" s="1"/>
    </row>
    <row r="20" spans="1:13" ht="20.25" customHeight="1" thickBot="1">
      <c r="A20" s="84"/>
      <c r="B20" s="115" t="s">
        <v>63</v>
      </c>
      <c r="C20" s="110" t="s">
        <v>54</v>
      </c>
      <c r="D20" s="110">
        <v>0.0012</v>
      </c>
      <c r="E20" s="111">
        <f>D20*E15</f>
        <v>0.16799999999999998</v>
      </c>
      <c r="F20" s="599"/>
      <c r="G20" s="600"/>
      <c r="H20" s="4"/>
      <c r="I20" s="9"/>
      <c r="J20" s="4"/>
      <c r="K20" s="1"/>
      <c r="L20" s="1"/>
      <c r="M20" s="1"/>
    </row>
    <row r="21" spans="1:13" ht="45" customHeight="1">
      <c r="A21" s="175">
        <v>4</v>
      </c>
      <c r="B21" s="107" t="s">
        <v>10</v>
      </c>
      <c r="C21" s="107" t="s">
        <v>59</v>
      </c>
      <c r="D21" s="89"/>
      <c r="E21" s="109">
        <v>1.6</v>
      </c>
      <c r="F21" s="566"/>
      <c r="G21" s="601"/>
      <c r="H21" s="55"/>
      <c r="I21" s="9"/>
      <c r="J21" s="56"/>
      <c r="K21" s="1"/>
      <c r="L21" s="1"/>
      <c r="M21" s="1"/>
    </row>
    <row r="22" spans="1:10" s="3" customFormat="1" ht="46.5" customHeight="1">
      <c r="A22" s="82"/>
      <c r="B22" s="91" t="s">
        <v>11</v>
      </c>
      <c r="C22" s="91" t="s">
        <v>44</v>
      </c>
      <c r="D22" s="91">
        <f>1.15*13.8</f>
        <v>15.87</v>
      </c>
      <c r="E22" s="86">
        <f>D22*E21</f>
        <v>25.392</v>
      </c>
      <c r="F22" s="518"/>
      <c r="G22" s="602"/>
      <c r="H22" s="8"/>
      <c r="I22" s="9"/>
      <c r="J22" s="57"/>
    </row>
    <row r="23" spans="1:13" ht="25.5" customHeight="1">
      <c r="A23" s="82"/>
      <c r="B23" s="91" t="s">
        <v>12</v>
      </c>
      <c r="C23" s="91" t="s">
        <v>54</v>
      </c>
      <c r="D23" s="91">
        <f>1.15*0.17</f>
        <v>0.1955</v>
      </c>
      <c r="E23" s="86">
        <f>D23*E21</f>
        <v>0.3128</v>
      </c>
      <c r="F23" s="518"/>
      <c r="G23" s="602"/>
      <c r="H23" s="28"/>
      <c r="J23" s="11"/>
      <c r="K23" s="1"/>
      <c r="L23" s="1"/>
      <c r="M23" s="1"/>
    </row>
    <row r="24" spans="1:13" ht="30" customHeight="1">
      <c r="A24" s="82"/>
      <c r="B24" s="91" t="s">
        <v>13</v>
      </c>
      <c r="C24" s="91" t="s">
        <v>52</v>
      </c>
      <c r="D24" s="91">
        <v>1.03</v>
      </c>
      <c r="E24" s="86">
        <f>D24*E21</f>
        <v>1.6480000000000001</v>
      </c>
      <c r="F24" s="518"/>
      <c r="G24" s="602"/>
      <c r="H24" s="29"/>
      <c r="J24" s="8"/>
      <c r="K24" s="1"/>
      <c r="L24" s="1"/>
      <c r="M24" s="1"/>
    </row>
    <row r="25" spans="1:10" s="31" customFormat="1" ht="24" customHeight="1">
      <c r="A25" s="82"/>
      <c r="B25" s="91" t="s">
        <v>14</v>
      </c>
      <c r="C25" s="91" t="s">
        <v>53</v>
      </c>
      <c r="D25" s="113"/>
      <c r="E25" s="166">
        <v>2</v>
      </c>
      <c r="F25" s="519"/>
      <c r="G25" s="551"/>
      <c r="H25" s="29"/>
      <c r="I25" s="11"/>
      <c r="J25" s="3"/>
    </row>
    <row r="26" spans="1:13" ht="25.5" customHeight="1">
      <c r="A26" s="82"/>
      <c r="B26" s="91" t="s">
        <v>89</v>
      </c>
      <c r="C26" s="92" t="s">
        <v>94</v>
      </c>
      <c r="D26" s="174"/>
      <c r="E26" s="176">
        <v>2</v>
      </c>
      <c r="F26" s="606"/>
      <c r="G26" s="551"/>
      <c r="H26" s="28"/>
      <c r="I26" s="19"/>
      <c r="J26" s="19"/>
      <c r="K26" s="1"/>
      <c r="L26" s="1"/>
      <c r="M26" s="1"/>
    </row>
    <row r="27" spans="1:13" ht="32.25" customHeight="1" thickBot="1">
      <c r="A27" s="181"/>
      <c r="B27" s="91" t="s">
        <v>63</v>
      </c>
      <c r="C27" s="91" t="s">
        <v>54</v>
      </c>
      <c r="D27" s="91">
        <v>0.9</v>
      </c>
      <c r="E27" s="86">
        <f>D27*E21</f>
        <v>1.4400000000000002</v>
      </c>
      <c r="F27" s="518"/>
      <c r="G27" s="522"/>
      <c r="H27" s="29"/>
      <c r="K27" s="1"/>
      <c r="L27" s="1"/>
      <c r="M27" s="1"/>
    </row>
    <row r="28" spans="1:22" ht="38.25" customHeight="1">
      <c r="A28" s="81" t="s">
        <v>71</v>
      </c>
      <c r="B28" s="107" t="s">
        <v>522</v>
      </c>
      <c r="C28" s="107" t="s">
        <v>59</v>
      </c>
      <c r="D28" s="108"/>
      <c r="E28" s="202">
        <v>15</v>
      </c>
      <c r="F28" s="548"/>
      <c r="G28" s="549"/>
      <c r="H28" s="28"/>
      <c r="I28" s="19"/>
      <c r="J28" s="23"/>
      <c r="N28" s="3"/>
      <c r="O28" s="3"/>
      <c r="P28" s="3"/>
      <c r="Q28" s="3"/>
      <c r="R28" s="3"/>
      <c r="S28" s="3"/>
      <c r="T28" s="3"/>
      <c r="U28" s="3"/>
      <c r="V28" s="3"/>
    </row>
    <row r="29" spans="1:22" ht="35.25" customHeight="1" thickBot="1">
      <c r="A29" s="84"/>
      <c r="B29" s="110" t="s">
        <v>86</v>
      </c>
      <c r="C29" s="110" t="s">
        <v>44</v>
      </c>
      <c r="D29" s="110">
        <f>1.15*1.21</f>
        <v>1.3915</v>
      </c>
      <c r="E29" s="111">
        <f>E28*D29</f>
        <v>20.8725</v>
      </c>
      <c r="F29" s="599"/>
      <c r="G29" s="600"/>
      <c r="I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7.25" customHeight="1">
      <c r="A30" s="132" t="s">
        <v>75</v>
      </c>
      <c r="B30" s="133" t="s">
        <v>519</v>
      </c>
      <c r="C30" s="133" t="s">
        <v>52</v>
      </c>
      <c r="D30" s="133"/>
      <c r="E30" s="243">
        <v>3</v>
      </c>
      <c r="F30" s="510"/>
      <c r="G30" s="527"/>
      <c r="I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34.5" customHeight="1">
      <c r="A31" s="104"/>
      <c r="B31" s="91" t="s">
        <v>515</v>
      </c>
      <c r="C31" s="91" t="s">
        <v>44</v>
      </c>
      <c r="D31" s="91">
        <v>0.0132</v>
      </c>
      <c r="E31" s="86">
        <f>E30*D31</f>
        <v>0.039599999999999996</v>
      </c>
      <c r="F31" s="518"/>
      <c r="G31" s="522"/>
      <c r="H31" s="7"/>
      <c r="I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6.25" customHeight="1">
      <c r="A32" s="104"/>
      <c r="B32" s="91" t="s">
        <v>516</v>
      </c>
      <c r="C32" s="91" t="s">
        <v>62</v>
      </c>
      <c r="D32" s="91">
        <v>0.0295</v>
      </c>
      <c r="E32" s="86">
        <f>E30*D32</f>
        <v>0.0885</v>
      </c>
      <c r="F32" s="518"/>
      <c r="G32" s="522"/>
      <c r="H32" s="7"/>
      <c r="I32" s="3"/>
      <c r="N32" s="3"/>
      <c r="O32" s="3"/>
      <c r="P32" s="3"/>
      <c r="Q32" s="3"/>
      <c r="R32" s="3"/>
      <c r="S32" s="3"/>
      <c r="T32" s="3"/>
      <c r="U32" s="3"/>
      <c r="V32" s="3"/>
    </row>
    <row r="33" spans="1:13" ht="22.5" customHeight="1">
      <c r="A33" s="104"/>
      <c r="B33" s="91" t="s">
        <v>517</v>
      </c>
      <c r="C33" s="91" t="s">
        <v>54</v>
      </c>
      <c r="D33" s="91">
        <v>0.00021</v>
      </c>
      <c r="E33" s="86">
        <f>E30*D33</f>
        <v>0.00063</v>
      </c>
      <c r="F33" s="518"/>
      <c r="G33" s="522"/>
      <c r="K33" s="1"/>
      <c r="L33" s="1"/>
      <c r="M33" s="1"/>
    </row>
    <row r="34" spans="1:13" ht="41.25" customHeight="1">
      <c r="A34" s="234">
        <v>7</v>
      </c>
      <c r="B34" s="133" t="s">
        <v>518</v>
      </c>
      <c r="C34" s="133" t="s">
        <v>72</v>
      </c>
      <c r="D34" s="133"/>
      <c r="E34" s="243">
        <v>5.25</v>
      </c>
      <c r="F34" s="514"/>
      <c r="G34" s="530"/>
      <c r="K34" s="1"/>
      <c r="L34" s="1"/>
      <c r="M34" s="1"/>
    </row>
    <row r="35" spans="1:13" ht="25.5" customHeight="1" thickBot="1">
      <c r="A35" s="104"/>
      <c r="B35" s="91" t="s">
        <v>523</v>
      </c>
      <c r="C35" s="91" t="s">
        <v>72</v>
      </c>
      <c r="D35" s="91">
        <v>1</v>
      </c>
      <c r="E35" s="121">
        <f>E34*D35</f>
        <v>5.25</v>
      </c>
      <c r="F35" s="515"/>
      <c r="G35" s="531"/>
      <c r="K35" s="1"/>
      <c r="L35" s="1"/>
      <c r="M35" s="1"/>
    </row>
    <row r="36" spans="1:13" ht="30.75" customHeight="1">
      <c r="A36" s="127"/>
      <c r="B36" s="119" t="s">
        <v>185</v>
      </c>
      <c r="C36" s="89" t="s">
        <v>54</v>
      </c>
      <c r="D36" s="89"/>
      <c r="E36" s="128"/>
      <c r="F36" s="566"/>
      <c r="G36" s="567"/>
      <c r="K36" s="1"/>
      <c r="L36" s="1"/>
      <c r="M36" s="1"/>
    </row>
    <row r="37" spans="1:13" s="5" customFormat="1" ht="30" customHeight="1">
      <c r="A37" s="129"/>
      <c r="B37" s="91" t="s">
        <v>43</v>
      </c>
      <c r="C37" s="91" t="s">
        <v>54</v>
      </c>
      <c r="D37" s="91"/>
      <c r="E37" s="130">
        <v>0.1</v>
      </c>
      <c r="F37" s="516"/>
      <c r="G37" s="568"/>
      <c r="H37" s="11"/>
      <c r="I37" s="11"/>
      <c r="J37" s="3"/>
      <c r="K37" s="6"/>
      <c r="L37" s="6"/>
      <c r="M37" s="6"/>
    </row>
    <row r="38" spans="1:10" s="5" customFormat="1" ht="30" customHeight="1">
      <c r="A38" s="131"/>
      <c r="B38" s="133" t="s">
        <v>55</v>
      </c>
      <c r="C38" s="133" t="s">
        <v>54</v>
      </c>
      <c r="D38" s="133"/>
      <c r="E38" s="133"/>
      <c r="F38" s="510"/>
      <c r="G38" s="569"/>
      <c r="H38" s="11"/>
      <c r="I38" s="11"/>
      <c r="J38" s="3"/>
    </row>
    <row r="39" spans="1:10" s="4" customFormat="1" ht="27.75" customHeight="1">
      <c r="A39" s="129"/>
      <c r="B39" s="91" t="s">
        <v>69</v>
      </c>
      <c r="C39" s="91" t="s">
        <v>54</v>
      </c>
      <c r="D39" s="91"/>
      <c r="E39" s="130">
        <v>0.08</v>
      </c>
      <c r="F39" s="516"/>
      <c r="G39" s="568"/>
      <c r="H39" s="11"/>
      <c r="I39" s="11"/>
      <c r="J39" s="3"/>
    </row>
    <row r="40" spans="1:13" ht="35.25" customHeight="1" thickBot="1">
      <c r="A40" s="134"/>
      <c r="B40" s="93" t="s">
        <v>60</v>
      </c>
      <c r="C40" s="93" t="s">
        <v>54</v>
      </c>
      <c r="D40" s="93"/>
      <c r="E40" s="135"/>
      <c r="F40" s="570"/>
      <c r="G40" s="571"/>
      <c r="K40" s="1"/>
      <c r="L40" s="1"/>
      <c r="M40" s="1"/>
    </row>
    <row r="41" spans="1:13" ht="15.75" customHeight="1">
      <c r="A41" s="136"/>
      <c r="B41" s="88"/>
      <c r="C41" s="77"/>
      <c r="D41" s="138"/>
      <c r="E41" s="138"/>
      <c r="F41" s="138"/>
      <c r="G41" s="94"/>
      <c r="K41" s="1"/>
      <c r="L41" s="1"/>
      <c r="M41" s="1"/>
    </row>
    <row r="42" spans="1:13" ht="15.75" customHeight="1">
      <c r="A42" s="136"/>
      <c r="B42" s="88"/>
      <c r="C42" s="77"/>
      <c r="D42" s="138"/>
      <c r="E42" s="138"/>
      <c r="F42" s="138"/>
      <c r="G42" s="94"/>
      <c r="K42" s="1"/>
      <c r="L42" s="1"/>
      <c r="M42" s="1"/>
    </row>
    <row r="43" spans="1:22" ht="23.25" customHeight="1">
      <c r="A43" s="139"/>
      <c r="B43" s="468" t="s">
        <v>886</v>
      </c>
      <c r="C43" s="468"/>
      <c r="D43" s="468"/>
      <c r="E43" s="468"/>
      <c r="F43" s="468"/>
      <c r="G43" s="468"/>
      <c r="N43" s="3"/>
      <c r="O43" s="3"/>
      <c r="P43" s="3"/>
      <c r="Q43" s="3"/>
      <c r="R43" s="3"/>
      <c r="S43" s="3"/>
      <c r="T43" s="3"/>
      <c r="U43" s="3"/>
      <c r="V43" s="3"/>
    </row>
    <row r="44" spans="1:13" ht="15.75" customHeight="1">
      <c r="A44" s="143"/>
      <c r="B44" s="140"/>
      <c r="C44" s="140"/>
      <c r="D44" s="140"/>
      <c r="E44" s="140"/>
      <c r="F44" s="140"/>
      <c r="G44" s="142"/>
      <c r="K44" s="1"/>
      <c r="L44" s="1"/>
      <c r="M44" s="1"/>
    </row>
    <row r="45" spans="1:13" ht="33" customHeight="1">
      <c r="A45" s="143"/>
      <c r="B45" s="77"/>
      <c r="C45" s="77"/>
      <c r="D45" s="77"/>
      <c r="E45" s="77"/>
      <c r="F45" s="77"/>
      <c r="G45" s="94"/>
      <c r="K45" s="1"/>
      <c r="L45" s="1"/>
      <c r="M45" s="1"/>
    </row>
    <row r="46" spans="1:13" ht="15.75" customHeight="1">
      <c r="A46" s="143"/>
      <c r="B46" s="77"/>
      <c r="C46" s="77"/>
      <c r="D46" s="77"/>
      <c r="E46" s="77"/>
      <c r="F46" s="77"/>
      <c r="G46" s="94"/>
      <c r="K46" s="1"/>
      <c r="L46" s="1"/>
      <c r="M46" s="1"/>
    </row>
    <row r="47" spans="1:13" ht="15.75" customHeight="1">
      <c r="A47" s="143"/>
      <c r="B47" s="77"/>
      <c r="C47" s="77"/>
      <c r="D47" s="77"/>
      <c r="E47" s="77"/>
      <c r="F47" s="77"/>
      <c r="G47" s="94"/>
      <c r="K47" s="1"/>
      <c r="L47" s="1"/>
      <c r="M47" s="1"/>
    </row>
    <row r="48" spans="1:10" s="32" customFormat="1" ht="15.75" customHeight="1">
      <c r="A48" s="143"/>
      <c r="B48" s="77"/>
      <c r="C48" s="77"/>
      <c r="D48" s="77"/>
      <c r="E48" s="77"/>
      <c r="F48" s="77"/>
      <c r="G48" s="94"/>
      <c r="H48" s="11"/>
      <c r="I48" s="11"/>
      <c r="J48" s="3"/>
    </row>
    <row r="49" spans="1:10" s="38" customFormat="1" ht="15.75" customHeight="1">
      <c r="A49" s="143"/>
      <c r="B49" s="77"/>
      <c r="C49" s="77"/>
      <c r="D49" s="77"/>
      <c r="E49" s="77"/>
      <c r="F49" s="77"/>
      <c r="G49" s="94"/>
      <c r="H49" s="11"/>
      <c r="I49" s="11"/>
      <c r="J49" s="3"/>
    </row>
    <row r="50" spans="1:13" ht="15.75" customHeight="1">
      <c r="A50" s="143"/>
      <c r="B50" s="77"/>
      <c r="C50" s="77"/>
      <c r="D50" s="77"/>
      <c r="E50" s="77"/>
      <c r="F50" s="77"/>
      <c r="G50" s="94"/>
      <c r="K50" s="1"/>
      <c r="L50" s="1"/>
      <c r="M50" s="1"/>
    </row>
    <row r="51" spans="1:10" s="4" customFormat="1" ht="36.75" customHeight="1">
      <c r="A51" s="143"/>
      <c r="B51" s="77"/>
      <c r="C51" s="77"/>
      <c r="D51" s="77"/>
      <c r="E51" s="77"/>
      <c r="F51" s="77"/>
      <c r="G51" s="94"/>
      <c r="H51" s="11"/>
      <c r="I51" s="11"/>
      <c r="J51" s="3"/>
    </row>
    <row r="52" spans="1:10" s="4" customFormat="1" ht="15.75" customHeight="1">
      <c r="A52" s="143"/>
      <c r="B52" s="77"/>
      <c r="C52" s="77"/>
      <c r="D52" s="77"/>
      <c r="E52" s="77"/>
      <c r="F52" s="77"/>
      <c r="G52" s="94"/>
      <c r="H52" s="11"/>
      <c r="I52" s="11"/>
      <c r="J52" s="3"/>
    </row>
    <row r="53" spans="1:10" s="4" customFormat="1" ht="15.75" customHeight="1">
      <c r="A53" s="143"/>
      <c r="B53" s="77"/>
      <c r="C53" s="77"/>
      <c r="D53" s="77"/>
      <c r="E53" s="77"/>
      <c r="F53" s="77"/>
      <c r="G53" s="94"/>
      <c r="H53" s="11"/>
      <c r="I53" s="11"/>
      <c r="J53" s="3"/>
    </row>
    <row r="54" spans="1:10" s="2" customFormat="1" ht="15.75" customHeight="1">
      <c r="A54" s="143"/>
      <c r="B54" s="77"/>
      <c r="C54" s="77"/>
      <c r="D54" s="77"/>
      <c r="E54" s="77"/>
      <c r="F54" s="77"/>
      <c r="G54" s="94"/>
      <c r="H54" s="11"/>
      <c r="I54" s="11"/>
      <c r="J54" s="3"/>
    </row>
    <row r="55" spans="1:10" s="38" customFormat="1" ht="15.75" customHeight="1">
      <c r="A55" s="143"/>
      <c r="B55" s="77"/>
      <c r="C55" s="77"/>
      <c r="D55" s="77"/>
      <c r="E55" s="77"/>
      <c r="F55" s="77"/>
      <c r="G55" s="94"/>
      <c r="H55" s="11"/>
      <c r="I55" s="11"/>
      <c r="J55" s="3"/>
    </row>
    <row r="56" spans="1:10" s="38" customFormat="1" ht="15.75" customHeight="1">
      <c r="A56" s="143"/>
      <c r="B56" s="77"/>
      <c r="C56" s="77"/>
      <c r="D56" s="77"/>
      <c r="E56" s="77"/>
      <c r="F56" s="77"/>
      <c r="G56" s="94"/>
      <c r="H56" s="11"/>
      <c r="I56" s="11"/>
      <c r="J56" s="3"/>
    </row>
    <row r="57" spans="1:10" s="4" customFormat="1" ht="15.75" customHeight="1">
      <c r="A57" s="143"/>
      <c r="B57" s="77"/>
      <c r="C57" s="77"/>
      <c r="D57" s="77"/>
      <c r="E57" s="77"/>
      <c r="F57" s="77"/>
      <c r="G57" s="94"/>
      <c r="H57" s="11"/>
      <c r="I57" s="11"/>
      <c r="J57" s="3"/>
    </row>
    <row r="58" spans="1:10" s="5" customFormat="1" ht="38.25" customHeight="1">
      <c r="A58" s="143"/>
      <c r="B58" s="77"/>
      <c r="C58" s="77"/>
      <c r="D58" s="77"/>
      <c r="E58" s="77"/>
      <c r="F58" s="77"/>
      <c r="G58" s="94"/>
      <c r="H58" s="11"/>
      <c r="I58" s="11"/>
      <c r="J58" s="3"/>
    </row>
    <row r="59" spans="1:10" s="4" customFormat="1" ht="19.5" customHeight="1">
      <c r="A59" s="143"/>
      <c r="B59" s="77"/>
      <c r="C59" s="77"/>
      <c r="D59" s="77"/>
      <c r="E59" s="77"/>
      <c r="F59" s="77"/>
      <c r="G59" s="94"/>
      <c r="H59" s="11"/>
      <c r="I59" s="11"/>
      <c r="J59" s="3"/>
    </row>
    <row r="60" spans="1:7" ht="18" customHeight="1">
      <c r="A60" s="143"/>
      <c r="B60" s="77"/>
      <c r="C60" s="77"/>
      <c r="D60" s="77"/>
      <c r="E60" s="77"/>
      <c r="F60" s="77"/>
      <c r="G60" s="94"/>
    </row>
    <row r="61" spans="1:7" ht="18" customHeight="1">
      <c r="A61" s="143"/>
      <c r="B61" s="77"/>
      <c r="C61" s="77"/>
      <c r="D61" s="77"/>
      <c r="E61" s="77"/>
      <c r="F61" s="77"/>
      <c r="G61" s="94"/>
    </row>
    <row r="62" spans="1:7" ht="18" customHeight="1">
      <c r="A62" s="143"/>
      <c r="B62" s="77"/>
      <c r="C62" s="77"/>
      <c r="D62" s="77"/>
      <c r="E62" s="77"/>
      <c r="F62" s="77"/>
      <c r="G62" s="94"/>
    </row>
    <row r="63" spans="1:13" s="24" customFormat="1" ht="18" customHeight="1">
      <c r="A63" s="143"/>
      <c r="B63" s="77"/>
      <c r="C63" s="77"/>
      <c r="D63" s="77"/>
      <c r="E63" s="77"/>
      <c r="F63" s="77"/>
      <c r="G63" s="94"/>
      <c r="H63" s="11"/>
      <c r="I63" s="11"/>
      <c r="J63" s="3"/>
      <c r="K63" s="23"/>
      <c r="L63" s="23"/>
      <c r="M63" s="23"/>
    </row>
    <row r="64" spans="1:7" ht="18" customHeight="1">
      <c r="A64" s="143"/>
      <c r="B64" s="77"/>
      <c r="C64" s="77"/>
      <c r="D64" s="77"/>
      <c r="E64" s="77"/>
      <c r="F64" s="77"/>
      <c r="G64" s="94"/>
    </row>
    <row r="65" spans="1:13" s="24" customFormat="1" ht="18" customHeight="1">
      <c r="A65" s="143"/>
      <c r="B65" s="77"/>
      <c r="C65" s="77"/>
      <c r="D65" s="77"/>
      <c r="E65" s="77"/>
      <c r="F65" s="77"/>
      <c r="G65" s="94"/>
      <c r="H65" s="11"/>
      <c r="I65" s="11"/>
      <c r="J65" s="3"/>
      <c r="K65" s="23"/>
      <c r="L65" s="23"/>
      <c r="M65" s="23"/>
    </row>
    <row r="66" spans="1:7" ht="15.75">
      <c r="A66" s="143"/>
      <c r="B66" s="77"/>
      <c r="C66" s="77"/>
      <c r="D66" s="77"/>
      <c r="E66" s="77"/>
      <c r="F66" s="77"/>
      <c r="G66" s="94"/>
    </row>
    <row r="67" spans="1:7" ht="15.75">
      <c r="A67" s="143"/>
      <c r="B67" s="77"/>
      <c r="C67" s="77"/>
      <c r="D67" s="77"/>
      <c r="E67" s="77"/>
      <c r="F67" s="77"/>
      <c r="G67" s="94"/>
    </row>
    <row r="68" spans="1:7" ht="15.75" customHeight="1">
      <c r="A68" s="143"/>
      <c r="B68" s="77"/>
      <c r="C68" s="77"/>
      <c r="D68" s="77"/>
      <c r="E68" s="77"/>
      <c r="F68" s="77"/>
      <c r="G68" s="94"/>
    </row>
    <row r="69" spans="1:7" ht="15.75">
      <c r="A69" s="143"/>
      <c r="B69" s="77"/>
      <c r="C69" s="77"/>
      <c r="D69" s="77"/>
      <c r="E69" s="77"/>
      <c r="F69" s="77"/>
      <c r="G69" s="94"/>
    </row>
    <row r="70" spans="1:7" ht="15.75">
      <c r="A70" s="143"/>
      <c r="B70" s="77"/>
      <c r="C70" s="77"/>
      <c r="D70" s="77"/>
      <c r="E70" s="77"/>
      <c r="F70" s="77"/>
      <c r="G70" s="94"/>
    </row>
    <row r="71" spans="1:7" ht="15.75">
      <c r="A71" s="143"/>
      <c r="B71" s="77"/>
      <c r="C71" s="77"/>
      <c r="D71" s="77"/>
      <c r="E71" s="77"/>
      <c r="F71" s="77"/>
      <c r="G71" s="94"/>
    </row>
    <row r="72" spans="1:7" ht="15.75">
      <c r="A72" s="143"/>
      <c r="B72" s="77"/>
      <c r="C72" s="77"/>
      <c r="D72" s="77"/>
      <c r="E72" s="77"/>
      <c r="F72" s="77"/>
      <c r="G72" s="94"/>
    </row>
    <row r="73" spans="1:7" ht="15.75">
      <c r="A73" s="143"/>
      <c r="B73" s="77"/>
      <c r="C73" s="77"/>
      <c r="D73" s="77"/>
      <c r="E73" s="77"/>
      <c r="F73" s="77"/>
      <c r="G73" s="94"/>
    </row>
    <row r="74" spans="1:7" ht="15.75">
      <c r="A74" s="143"/>
      <c r="B74" s="77"/>
      <c r="C74" s="77"/>
      <c r="D74" s="77"/>
      <c r="E74" s="77"/>
      <c r="F74" s="77"/>
      <c r="G74" s="94"/>
    </row>
    <row r="75" spans="1:7" ht="15.75">
      <c r="A75" s="143"/>
      <c r="B75" s="77"/>
      <c r="C75" s="77"/>
      <c r="D75" s="77"/>
      <c r="E75" s="77"/>
      <c r="F75" s="77"/>
      <c r="G75" s="94"/>
    </row>
  </sheetData>
  <sheetProtection password="CF2D" sheet="1"/>
  <mergeCells count="9">
    <mergeCell ref="B43:G43"/>
    <mergeCell ref="F4:G4"/>
    <mergeCell ref="A1:G1"/>
    <mergeCell ref="A2:G2"/>
    <mergeCell ref="A3:G3"/>
    <mergeCell ref="A4:A5"/>
    <mergeCell ref="B4:B5"/>
    <mergeCell ref="C4:C5"/>
    <mergeCell ref="D4:E4"/>
  </mergeCells>
  <printOptions/>
  <pageMargins left="0.54" right="0.2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AZ161"/>
  <sheetViews>
    <sheetView zoomScalePageLayoutView="0" workbookViewId="0" topLeftCell="A88">
      <selection activeCell="G120" sqref="G120"/>
    </sheetView>
  </sheetViews>
  <sheetFormatPr defaultColWidth="9.140625" defaultRowHeight="12.75"/>
  <cols>
    <col min="1" max="1" width="4.140625" style="13" customWidth="1"/>
    <col min="2" max="2" width="43.8515625" style="1" customWidth="1"/>
    <col min="3" max="3" width="6.7109375" style="1" customWidth="1"/>
    <col min="4" max="4" width="7.7109375" style="1" customWidth="1"/>
    <col min="5" max="5" width="8.8515625" style="1" customWidth="1"/>
    <col min="6" max="6" width="10.00390625" style="1" customWidth="1"/>
    <col min="7" max="7" width="12.00390625" style="11" customWidth="1"/>
    <col min="8" max="8" width="10.28125" style="11" hidden="1" customWidth="1"/>
    <col min="9" max="9" width="9.00390625" style="11" hidden="1" customWidth="1"/>
    <col min="10" max="10" width="11.57421875" style="3" hidden="1" customWidth="1"/>
    <col min="11" max="12" width="9.140625" style="3" hidden="1" customWidth="1"/>
    <col min="13" max="13" width="9.140625" style="3" customWidth="1"/>
    <col min="14" max="16384" width="9.140625" style="1" customWidth="1"/>
  </cols>
  <sheetData>
    <row r="1" spans="1:9" ht="34.5" customHeight="1">
      <c r="A1" s="486" t="s">
        <v>824</v>
      </c>
      <c r="B1" s="458"/>
      <c r="C1" s="458"/>
      <c r="D1" s="458"/>
      <c r="E1" s="458"/>
      <c r="F1" s="458"/>
      <c r="G1" s="458"/>
      <c r="H1" s="45"/>
      <c r="I1" s="3"/>
    </row>
    <row r="2" spans="1:9" ht="22.5" customHeight="1">
      <c r="A2" s="471" t="s">
        <v>447</v>
      </c>
      <c r="B2" s="471"/>
      <c r="C2" s="471"/>
      <c r="D2" s="471"/>
      <c r="E2" s="471"/>
      <c r="F2" s="471"/>
      <c r="G2" s="471"/>
      <c r="H2" s="23"/>
      <c r="I2" s="3"/>
    </row>
    <row r="3" spans="1:9" ht="21.75" customHeight="1">
      <c r="A3" s="475" t="s">
        <v>873</v>
      </c>
      <c r="B3" s="475"/>
      <c r="C3" s="475"/>
      <c r="D3" s="475"/>
      <c r="E3" s="475"/>
      <c r="F3" s="475"/>
      <c r="G3" s="475"/>
      <c r="H3" s="23"/>
      <c r="I3" s="3"/>
    </row>
    <row r="4" spans="1:10" ht="28.5" customHeight="1">
      <c r="A4" s="499" t="s">
        <v>46</v>
      </c>
      <c r="B4" s="501" t="s">
        <v>47</v>
      </c>
      <c r="C4" s="502" t="s">
        <v>45</v>
      </c>
      <c r="D4" s="503" t="s">
        <v>48</v>
      </c>
      <c r="E4" s="504"/>
      <c r="F4" s="503" t="s">
        <v>41</v>
      </c>
      <c r="G4" s="504"/>
      <c r="H4" s="15"/>
      <c r="I4" s="10"/>
      <c r="J4" s="10"/>
    </row>
    <row r="5" spans="1:10" ht="58.5" customHeight="1">
      <c r="A5" s="500"/>
      <c r="B5" s="479"/>
      <c r="C5" s="481"/>
      <c r="D5" s="95" t="s">
        <v>49</v>
      </c>
      <c r="E5" s="95" t="s">
        <v>50</v>
      </c>
      <c r="F5" s="95" t="s">
        <v>49</v>
      </c>
      <c r="G5" s="304" t="s">
        <v>50</v>
      </c>
      <c r="H5" s="12"/>
      <c r="I5" s="12"/>
      <c r="J5" s="10"/>
    </row>
    <row r="6" spans="1:13" s="5" customFormat="1" ht="24" customHeight="1">
      <c r="A6" s="345" t="s">
        <v>51</v>
      </c>
      <c r="B6" s="247">
        <v>3</v>
      </c>
      <c r="C6" s="247">
        <v>4</v>
      </c>
      <c r="D6" s="247">
        <v>5</v>
      </c>
      <c r="E6" s="247">
        <v>6</v>
      </c>
      <c r="F6" s="247">
        <v>7</v>
      </c>
      <c r="G6" s="346">
        <v>8</v>
      </c>
      <c r="H6" s="9"/>
      <c r="I6" s="9"/>
      <c r="J6" s="14"/>
      <c r="K6" s="6"/>
      <c r="L6" s="6"/>
      <c r="M6" s="6"/>
    </row>
    <row r="7" spans="1:52" s="4" customFormat="1" ht="35.25" customHeight="1">
      <c r="A7" s="345"/>
      <c r="B7" s="445" t="s">
        <v>932</v>
      </c>
      <c r="C7" s="247"/>
      <c r="D7" s="247"/>
      <c r="E7" s="247"/>
      <c r="F7" s="428"/>
      <c r="G7" s="444"/>
      <c r="H7" s="65"/>
      <c r="I7" s="62">
        <f aca="true" t="shared" si="0" ref="I7:I12">G85</f>
        <v>0</v>
      </c>
      <c r="J7" s="9"/>
      <c r="K7" s="6"/>
      <c r="L7" s="6"/>
      <c r="M7" s="6"/>
      <c r="N7" s="6"/>
      <c r="O7" s="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2"/>
      <c r="AT7" s="2"/>
      <c r="AU7" s="2"/>
      <c r="AV7" s="2"/>
      <c r="AW7" s="2"/>
      <c r="AX7" s="2"/>
      <c r="AY7" s="2"/>
      <c r="AZ7" s="2"/>
    </row>
    <row r="8" spans="1:52" s="4" customFormat="1" ht="45.75" customHeight="1">
      <c r="A8" s="234">
        <v>1</v>
      </c>
      <c r="B8" s="431" t="s">
        <v>933</v>
      </c>
      <c r="C8" s="133" t="s">
        <v>59</v>
      </c>
      <c r="D8" s="358"/>
      <c r="E8" s="242">
        <v>8</v>
      </c>
      <c r="F8" s="510"/>
      <c r="G8" s="511"/>
      <c r="H8" s="62"/>
      <c r="I8" s="62">
        <f t="shared" si="0"/>
        <v>0</v>
      </c>
      <c r="J8" s="7">
        <f>G86</f>
        <v>0</v>
      </c>
      <c r="K8" s="7"/>
      <c r="L8" s="2"/>
      <c r="M8" s="2"/>
      <c r="N8" s="2"/>
      <c r="O8" s="2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2"/>
      <c r="AT8" s="2"/>
      <c r="AU8" s="2"/>
      <c r="AV8" s="2"/>
      <c r="AW8" s="2"/>
      <c r="AX8" s="2"/>
      <c r="AY8" s="2"/>
      <c r="AZ8" s="2"/>
    </row>
    <row r="9" spans="1:52" s="5" customFormat="1" ht="30.75" customHeight="1">
      <c r="A9" s="181"/>
      <c r="B9" s="91" t="s">
        <v>66</v>
      </c>
      <c r="C9" s="91" t="s">
        <v>44</v>
      </c>
      <c r="D9" s="91">
        <f>1.15*2.06</f>
        <v>2.3689999999999998</v>
      </c>
      <c r="E9" s="86">
        <f>E8*D9</f>
        <v>18.951999999999998</v>
      </c>
      <c r="F9" s="518"/>
      <c r="G9" s="513"/>
      <c r="H9" s="62"/>
      <c r="I9" s="62">
        <f t="shared" si="0"/>
        <v>0</v>
      </c>
      <c r="J9" s="9"/>
      <c r="K9" s="2"/>
      <c r="L9" s="2"/>
      <c r="M9" s="2"/>
      <c r="N9" s="2"/>
      <c r="O9" s="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6"/>
      <c r="AT9" s="6"/>
      <c r="AU9" s="6"/>
      <c r="AV9" s="6"/>
      <c r="AW9" s="6"/>
      <c r="AX9" s="6"/>
      <c r="AY9" s="6"/>
      <c r="AZ9" s="6"/>
    </row>
    <row r="10" spans="1:30" ht="47.25" customHeight="1">
      <c r="A10" s="198" t="s">
        <v>67</v>
      </c>
      <c r="B10" s="133" t="s">
        <v>877</v>
      </c>
      <c r="C10" s="133" t="s">
        <v>59</v>
      </c>
      <c r="D10" s="133"/>
      <c r="E10" s="243">
        <v>8.1</v>
      </c>
      <c r="F10" s="510"/>
      <c r="G10" s="511"/>
      <c r="H10" s="62"/>
      <c r="I10" s="62">
        <f t="shared" si="0"/>
        <v>0</v>
      </c>
      <c r="J10" s="9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5.5" customHeight="1">
      <c r="A11" s="181"/>
      <c r="B11" s="91" t="s">
        <v>860</v>
      </c>
      <c r="C11" s="91" t="s">
        <v>44</v>
      </c>
      <c r="D11" s="91">
        <f>1.15*2.86</f>
        <v>3.2889999999999997</v>
      </c>
      <c r="E11" s="86">
        <f>D11*E10</f>
        <v>26.640899999999995</v>
      </c>
      <c r="F11" s="519"/>
      <c r="G11" s="513"/>
      <c r="H11" s="62"/>
      <c r="I11" s="62">
        <f t="shared" si="0"/>
        <v>0</v>
      </c>
      <c r="J11" s="9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15" s="6" customFormat="1" ht="24.75" customHeight="1">
      <c r="A12" s="181"/>
      <c r="B12" s="91" t="s">
        <v>861</v>
      </c>
      <c r="C12" s="91" t="s">
        <v>54</v>
      </c>
      <c r="D12" s="91">
        <f>1.15*0.0076</f>
        <v>0.00874</v>
      </c>
      <c r="E12" s="86">
        <f>E10*D12</f>
        <v>0.070794</v>
      </c>
      <c r="F12" s="518"/>
      <c r="G12" s="513"/>
      <c r="H12" s="62"/>
      <c r="I12" s="62">
        <f t="shared" si="0"/>
        <v>0</v>
      </c>
      <c r="J12" s="9"/>
      <c r="K12" s="2"/>
      <c r="L12" s="2"/>
      <c r="M12" s="2"/>
      <c r="N12" s="2"/>
      <c r="O12" s="2"/>
    </row>
    <row r="13" spans="1:15" s="3" customFormat="1" ht="30" customHeight="1">
      <c r="A13" s="181"/>
      <c r="B13" s="91" t="s">
        <v>862</v>
      </c>
      <c r="C13" s="91" t="s">
        <v>52</v>
      </c>
      <c r="D13" s="91">
        <v>1.02</v>
      </c>
      <c r="E13" s="86">
        <f>D13*E10</f>
        <v>8.262</v>
      </c>
      <c r="F13" s="518"/>
      <c r="G13" s="513"/>
      <c r="H13" s="8"/>
      <c r="I13" s="62" t="e">
        <f>#REF!</f>
        <v>#REF!</v>
      </c>
      <c r="J13" s="57" t="e">
        <f>#REF!</f>
        <v>#REF!</v>
      </c>
      <c r="K13" s="4"/>
      <c r="L13" s="4"/>
      <c r="M13" s="4"/>
      <c r="N13" s="1"/>
      <c r="O13" s="1"/>
    </row>
    <row r="14" spans="1:15" s="3" customFormat="1" ht="26.25" customHeight="1">
      <c r="A14" s="181"/>
      <c r="B14" s="91" t="s">
        <v>307</v>
      </c>
      <c r="C14" s="91" t="s">
        <v>80</v>
      </c>
      <c r="D14" s="91">
        <v>0.803</v>
      </c>
      <c r="E14" s="86">
        <f>E10*D14</f>
        <v>6.5043</v>
      </c>
      <c r="F14" s="518"/>
      <c r="G14" s="513"/>
      <c r="H14" s="55" t="e">
        <f>#REF!/#REF!</f>
        <v>#REF!</v>
      </c>
      <c r="I14" s="62" t="e">
        <f>#REF!</f>
        <v>#REF!</v>
      </c>
      <c r="N14" s="1"/>
      <c r="O14" s="1"/>
    </row>
    <row r="15" spans="1:15" s="3" customFormat="1" ht="25.5" customHeight="1">
      <c r="A15" s="181"/>
      <c r="B15" s="91" t="s">
        <v>345</v>
      </c>
      <c r="C15" s="91" t="s">
        <v>52</v>
      </c>
      <c r="D15" s="112">
        <v>0.0039</v>
      </c>
      <c r="E15" s="86">
        <f>E10*D15</f>
        <v>0.03159</v>
      </c>
      <c r="F15" s="518"/>
      <c r="G15" s="513"/>
      <c r="H15" s="8"/>
      <c r="I15" s="62" t="e">
        <f>#REF!</f>
        <v>#REF!</v>
      </c>
      <c r="J15" s="53" t="e">
        <f>#REF!</f>
        <v>#REF!</v>
      </c>
      <c r="N15" s="1"/>
      <c r="O15" s="1"/>
    </row>
    <row r="16" spans="1:15" ht="26.25" customHeight="1">
      <c r="A16" s="181"/>
      <c r="B16" s="102" t="s">
        <v>63</v>
      </c>
      <c r="C16" s="91" t="s">
        <v>54</v>
      </c>
      <c r="D16" s="112">
        <v>0.13</v>
      </c>
      <c r="E16" s="86">
        <f>D16*E10</f>
        <v>1.053</v>
      </c>
      <c r="F16" s="518"/>
      <c r="G16" s="513"/>
      <c r="H16" s="8"/>
      <c r="I16" s="62" t="e">
        <f>#REF!</f>
        <v>#REF!</v>
      </c>
      <c r="N16" s="3"/>
      <c r="O16" s="3"/>
    </row>
    <row r="17" spans="1:15" ht="41.25" customHeight="1">
      <c r="A17" s="234">
        <v>3</v>
      </c>
      <c r="B17" s="133" t="s">
        <v>863</v>
      </c>
      <c r="C17" s="133" t="s">
        <v>59</v>
      </c>
      <c r="D17" s="358"/>
      <c r="E17" s="242">
        <v>8</v>
      </c>
      <c r="F17" s="510"/>
      <c r="G17" s="511"/>
      <c r="H17" s="8"/>
      <c r="I17" s="62" t="e">
        <f>#REF!</f>
        <v>#REF!</v>
      </c>
      <c r="N17" s="5"/>
      <c r="O17" s="5"/>
    </row>
    <row r="18" spans="1:15" ht="29.25" customHeight="1">
      <c r="A18" s="181"/>
      <c r="B18" s="91" t="s">
        <v>66</v>
      </c>
      <c r="C18" s="91" t="s">
        <v>44</v>
      </c>
      <c r="D18" s="91">
        <f>1.15*2.06</f>
        <v>2.3689999999999998</v>
      </c>
      <c r="E18" s="86">
        <f>E17*D18</f>
        <v>18.951999999999998</v>
      </c>
      <c r="F18" s="518"/>
      <c r="G18" s="513"/>
      <c r="H18" s="55" t="e">
        <f>#REF!/#REF!</f>
        <v>#REF!</v>
      </c>
      <c r="I18" s="62" t="e">
        <f>#REF!</f>
        <v>#REF!</v>
      </c>
      <c r="N18" s="5"/>
      <c r="O18" s="5"/>
    </row>
    <row r="19" spans="1:15" ht="48" customHeight="1">
      <c r="A19" s="198" t="s">
        <v>113</v>
      </c>
      <c r="B19" s="133" t="s">
        <v>878</v>
      </c>
      <c r="C19" s="133" t="s">
        <v>59</v>
      </c>
      <c r="D19" s="133"/>
      <c r="E19" s="243">
        <v>3.5</v>
      </c>
      <c r="F19" s="510"/>
      <c r="G19" s="507"/>
      <c r="I19" s="62" t="e">
        <f>#REF!</f>
        <v>#REF!</v>
      </c>
      <c r="J19" s="7" t="e">
        <f>#REF!</f>
        <v>#REF!</v>
      </c>
      <c r="N19" s="4"/>
      <c r="O19" s="4"/>
    </row>
    <row r="20" spans="1:15" s="5" customFormat="1" ht="27.75" customHeight="1">
      <c r="A20" s="181"/>
      <c r="B20" s="102" t="s">
        <v>329</v>
      </c>
      <c r="C20" s="102" t="s">
        <v>44</v>
      </c>
      <c r="D20" s="91">
        <f>1.15*13.3</f>
        <v>15.295</v>
      </c>
      <c r="E20" s="116">
        <f>D20*E19</f>
        <v>53.5325</v>
      </c>
      <c r="F20" s="518"/>
      <c r="G20" s="509"/>
      <c r="H20" s="11"/>
      <c r="I20" s="62" t="e">
        <f>#REF!</f>
        <v>#REF!</v>
      </c>
      <c r="J20" s="3"/>
      <c r="K20" s="3"/>
      <c r="L20" s="3"/>
      <c r="M20" s="3"/>
      <c r="N20" s="3"/>
      <c r="O20" s="3"/>
    </row>
    <row r="21" spans="1:15" s="4" customFormat="1" ht="27.75" customHeight="1">
      <c r="A21" s="181"/>
      <c r="B21" s="91" t="s">
        <v>330</v>
      </c>
      <c r="C21" s="91" t="s">
        <v>54</v>
      </c>
      <c r="D21" s="91">
        <f>1.15*3.36</f>
        <v>3.8639999999999994</v>
      </c>
      <c r="E21" s="86">
        <f>D21*E19</f>
        <v>13.523999999999997</v>
      </c>
      <c r="F21" s="518"/>
      <c r="G21" s="509"/>
      <c r="H21" s="55" t="e">
        <f>#REF!/#REF!</f>
        <v>#REF!</v>
      </c>
      <c r="I21" s="62" t="e">
        <f>#REF!</f>
        <v>#REF!</v>
      </c>
      <c r="J21" s="3"/>
      <c r="K21" s="3"/>
      <c r="L21" s="3"/>
      <c r="M21" s="3"/>
      <c r="N21" s="3"/>
      <c r="O21" s="3"/>
    </row>
    <row r="22" spans="1:10" s="3" customFormat="1" ht="26.25" customHeight="1">
      <c r="A22" s="181"/>
      <c r="B22" s="91" t="s">
        <v>816</v>
      </c>
      <c r="C22" s="91" t="s">
        <v>52</v>
      </c>
      <c r="D22" s="91">
        <v>1.015</v>
      </c>
      <c r="E22" s="86">
        <f>D22*E19</f>
        <v>3.5524999999999998</v>
      </c>
      <c r="F22" s="515"/>
      <c r="G22" s="513"/>
      <c r="H22" s="11"/>
      <c r="I22" s="62" t="e">
        <f>#REF!</f>
        <v>#REF!</v>
      </c>
      <c r="J22" s="7" t="e">
        <f>#REF!</f>
        <v>#REF!</v>
      </c>
    </row>
    <row r="23" spans="1:9" s="3" customFormat="1" ht="27" customHeight="1">
      <c r="A23" s="181"/>
      <c r="B23" s="91" t="s">
        <v>307</v>
      </c>
      <c r="C23" s="91" t="s">
        <v>80</v>
      </c>
      <c r="D23" s="91">
        <v>2.42</v>
      </c>
      <c r="E23" s="86">
        <f>D23*E19</f>
        <v>8.469999999999999</v>
      </c>
      <c r="F23" s="518"/>
      <c r="G23" s="509"/>
      <c r="H23" s="11"/>
      <c r="I23" s="62" t="e">
        <f>#REF!</f>
        <v>#REF!</v>
      </c>
    </row>
    <row r="24" spans="1:9" s="3" customFormat="1" ht="24" customHeight="1">
      <c r="A24" s="181"/>
      <c r="B24" s="91" t="s">
        <v>344</v>
      </c>
      <c r="C24" s="91" t="s">
        <v>52</v>
      </c>
      <c r="D24" s="91">
        <f>0.0581+0.0067</f>
        <v>0.0648</v>
      </c>
      <c r="E24" s="86">
        <f>D24*E19</f>
        <v>0.2268</v>
      </c>
      <c r="F24" s="518"/>
      <c r="G24" s="509"/>
      <c r="H24" s="11"/>
      <c r="I24" s="62" t="e">
        <f>#REF!</f>
        <v>#REF!</v>
      </c>
    </row>
    <row r="25" spans="1:9" s="3" customFormat="1" ht="26.25" customHeight="1">
      <c r="A25" s="181"/>
      <c r="B25" s="91" t="s">
        <v>276</v>
      </c>
      <c r="C25" s="91" t="s">
        <v>78</v>
      </c>
      <c r="D25" s="91">
        <v>0.0015</v>
      </c>
      <c r="E25" s="112">
        <f>E19*D25</f>
        <v>0.00525</v>
      </c>
      <c r="F25" s="518"/>
      <c r="G25" s="509"/>
      <c r="H25" s="11"/>
      <c r="I25" s="62" t="e">
        <f>#REF!</f>
        <v>#REF!</v>
      </c>
    </row>
    <row r="26" spans="1:10" s="3" customFormat="1" ht="29.25" customHeight="1">
      <c r="A26" s="181"/>
      <c r="B26" s="91" t="s">
        <v>56</v>
      </c>
      <c r="C26" s="91" t="s">
        <v>54</v>
      </c>
      <c r="D26" s="91">
        <v>0.6</v>
      </c>
      <c r="E26" s="86">
        <f>D26*E19</f>
        <v>2.1</v>
      </c>
      <c r="F26" s="518"/>
      <c r="G26" s="509"/>
      <c r="H26" s="4"/>
      <c r="I26" s="62" t="e">
        <f>#REF!</f>
        <v>#REF!</v>
      </c>
      <c r="J26" s="11" t="e">
        <f>#REF!</f>
        <v>#REF!</v>
      </c>
    </row>
    <row r="27" spans="1:15" s="3" customFormat="1" ht="32.25" customHeight="1">
      <c r="A27" s="234">
        <v>5</v>
      </c>
      <c r="B27" s="133" t="s">
        <v>725</v>
      </c>
      <c r="C27" s="133" t="s">
        <v>78</v>
      </c>
      <c r="D27" s="133"/>
      <c r="E27" s="401">
        <v>0.35</v>
      </c>
      <c r="F27" s="510"/>
      <c r="G27" s="511"/>
      <c r="H27" s="55" t="e">
        <f>#REF!/#REF!</f>
        <v>#REF!</v>
      </c>
      <c r="I27" s="62" t="e">
        <f>#REF!</f>
        <v>#REF!</v>
      </c>
      <c r="J27" s="15"/>
      <c r="K27" s="15"/>
      <c r="L27" s="15"/>
      <c r="M27" s="15"/>
      <c r="N27" s="1"/>
      <c r="O27" s="1"/>
    </row>
    <row r="28" spans="1:15" s="3" customFormat="1" ht="24.75" customHeight="1">
      <c r="A28" s="104"/>
      <c r="B28" s="91" t="s">
        <v>88</v>
      </c>
      <c r="C28" s="91" t="s">
        <v>78</v>
      </c>
      <c r="D28" s="91">
        <v>1.01</v>
      </c>
      <c r="E28" s="114">
        <f>E27*D28</f>
        <v>0.3535</v>
      </c>
      <c r="F28" s="518"/>
      <c r="G28" s="513"/>
      <c r="H28" s="8"/>
      <c r="I28" s="62" t="e">
        <f>#REF!</f>
        <v>#REF!</v>
      </c>
      <c r="J28" s="53" t="e">
        <f>#REF!</f>
        <v>#REF!</v>
      </c>
      <c r="K28" s="15"/>
      <c r="L28" s="15"/>
      <c r="M28" s="15"/>
      <c r="N28" s="1"/>
      <c r="O28" s="1"/>
    </row>
    <row r="29" spans="1:15" s="3" customFormat="1" ht="23.25" customHeight="1">
      <c r="A29" s="104"/>
      <c r="B29" s="91" t="s">
        <v>278</v>
      </c>
      <c r="C29" s="91" t="s">
        <v>53</v>
      </c>
      <c r="D29" s="91">
        <v>3</v>
      </c>
      <c r="E29" s="114">
        <f>E27*D29</f>
        <v>1.0499999999999998</v>
      </c>
      <c r="F29" s="518"/>
      <c r="G29" s="513"/>
      <c r="H29" s="8"/>
      <c r="I29" s="62" t="e">
        <f>#REF!</f>
        <v>#REF!</v>
      </c>
      <c r="J29" s="15"/>
      <c r="K29" s="15"/>
      <c r="L29" s="15"/>
      <c r="M29" s="15"/>
      <c r="N29" s="1"/>
      <c r="O29" s="1"/>
    </row>
    <row r="30" spans="1:15" s="3" customFormat="1" ht="24" customHeight="1">
      <c r="A30" s="104"/>
      <c r="B30" s="91" t="s">
        <v>89</v>
      </c>
      <c r="C30" s="91" t="s">
        <v>53</v>
      </c>
      <c r="D30" s="91">
        <v>4</v>
      </c>
      <c r="E30" s="114">
        <f>E27*D30</f>
        <v>1.4</v>
      </c>
      <c r="F30" s="518"/>
      <c r="G30" s="513"/>
      <c r="H30" s="8"/>
      <c r="I30" s="62" t="e">
        <f>#REF!</f>
        <v>#REF!</v>
      </c>
      <c r="J30" s="15"/>
      <c r="K30" s="15"/>
      <c r="L30" s="15"/>
      <c r="M30" s="15"/>
      <c r="N30" s="1"/>
      <c r="O30" s="1"/>
    </row>
    <row r="31" spans="1:13" s="3" customFormat="1" ht="47.25" customHeight="1">
      <c r="A31" s="350" t="s">
        <v>75</v>
      </c>
      <c r="B31" s="245" t="s">
        <v>864</v>
      </c>
      <c r="C31" s="245" t="s">
        <v>59</v>
      </c>
      <c r="D31" s="245"/>
      <c r="E31" s="351">
        <v>22.5</v>
      </c>
      <c r="F31" s="510"/>
      <c r="G31" s="511"/>
      <c r="H31" s="8"/>
      <c r="I31" s="62" t="e">
        <f>#REF!</f>
        <v>#REF!</v>
      </c>
      <c r="J31" s="15"/>
      <c r="K31" s="15"/>
      <c r="L31" s="15"/>
      <c r="M31" s="15"/>
    </row>
    <row r="32" spans="1:15" ht="27.75" customHeight="1">
      <c r="A32" s="104"/>
      <c r="B32" s="91" t="s">
        <v>154</v>
      </c>
      <c r="C32" s="91" t="s">
        <v>44</v>
      </c>
      <c r="D32" s="91">
        <f>1.15*3.6</f>
        <v>4.14</v>
      </c>
      <c r="E32" s="86">
        <f>D32*E31</f>
        <v>93.14999999999999</v>
      </c>
      <c r="F32" s="519"/>
      <c r="G32" s="513"/>
      <c r="H32" s="8"/>
      <c r="I32" s="62" t="e">
        <f>#REF!</f>
        <v>#REF!</v>
      </c>
      <c r="J32" s="15"/>
      <c r="K32" s="15"/>
      <c r="L32" s="15"/>
      <c r="M32" s="15"/>
      <c r="N32" s="3"/>
      <c r="O32" s="3"/>
    </row>
    <row r="33" spans="1:15" ht="30.75" customHeight="1">
      <c r="A33" s="104"/>
      <c r="B33" s="91" t="s">
        <v>96</v>
      </c>
      <c r="C33" s="91" t="s">
        <v>54</v>
      </c>
      <c r="D33" s="91">
        <f>1.15*0.92</f>
        <v>1.058</v>
      </c>
      <c r="E33" s="86">
        <f>D33*E31</f>
        <v>23.805</v>
      </c>
      <c r="F33" s="518"/>
      <c r="G33" s="513"/>
      <c r="H33" s="8"/>
      <c r="I33" s="62" t="e">
        <f>#REF!</f>
        <v>#REF!</v>
      </c>
      <c r="J33" s="8"/>
      <c r="K33" s="15"/>
      <c r="L33" s="15"/>
      <c r="M33" s="15"/>
      <c r="N33" s="15"/>
      <c r="O33" s="15"/>
    </row>
    <row r="34" spans="1:15" ht="25.5" customHeight="1">
      <c r="A34" s="104"/>
      <c r="B34" s="91" t="s">
        <v>98</v>
      </c>
      <c r="C34" s="91" t="s">
        <v>52</v>
      </c>
      <c r="D34" s="91">
        <v>0.11</v>
      </c>
      <c r="E34" s="86">
        <f>D34*E31</f>
        <v>2.475</v>
      </c>
      <c r="F34" s="518"/>
      <c r="G34" s="513"/>
      <c r="H34" s="55" t="e">
        <f>#REF!/#REF!</f>
        <v>#REF!</v>
      </c>
      <c r="I34" s="62" t="e">
        <f>#REF!</f>
        <v>#REF!</v>
      </c>
      <c r="J34" s="26"/>
      <c r="K34" s="1"/>
      <c r="L34" s="1"/>
      <c r="M34" s="1"/>
      <c r="N34" s="15"/>
      <c r="O34" s="15"/>
    </row>
    <row r="35" spans="1:15" ht="33" customHeight="1">
      <c r="A35" s="104"/>
      <c r="B35" s="91" t="s">
        <v>155</v>
      </c>
      <c r="C35" s="91" t="s">
        <v>53</v>
      </c>
      <c r="D35" s="86">
        <f>0.92/(0.39*0.19*0.188)</f>
        <v>66.04071553679617</v>
      </c>
      <c r="E35" s="86">
        <f>D35*E31</f>
        <v>1485.9160995779139</v>
      </c>
      <c r="F35" s="515"/>
      <c r="G35" s="513"/>
      <c r="H35" s="8"/>
      <c r="I35" s="62" t="e">
        <f>#REF!</f>
        <v>#REF!</v>
      </c>
      <c r="J35" s="57" t="e">
        <f>#REF!</f>
        <v>#REF!</v>
      </c>
      <c r="K35" s="1"/>
      <c r="L35" s="1"/>
      <c r="M35" s="1"/>
      <c r="N35" s="15"/>
      <c r="O35" s="15"/>
    </row>
    <row r="36" spans="1:15" s="3" customFormat="1" ht="30" customHeight="1">
      <c r="A36" s="104"/>
      <c r="B36" s="91" t="s">
        <v>56</v>
      </c>
      <c r="C36" s="91" t="s">
        <v>54</v>
      </c>
      <c r="D36" s="91">
        <v>0.16</v>
      </c>
      <c r="E36" s="86">
        <f>D36*E31</f>
        <v>3.6</v>
      </c>
      <c r="F36" s="518"/>
      <c r="G36" s="513"/>
      <c r="H36" s="8"/>
      <c r="I36" s="62" t="e">
        <f>#REF!</f>
        <v>#REF!</v>
      </c>
      <c r="J36" s="26"/>
      <c r="K36" s="1"/>
      <c r="L36" s="1"/>
      <c r="M36" s="1"/>
      <c r="N36" s="15"/>
      <c r="O36" s="15"/>
    </row>
    <row r="37" spans="1:15" s="3" customFormat="1" ht="51.75" customHeight="1">
      <c r="A37" s="198" t="s">
        <v>76</v>
      </c>
      <c r="B37" s="133" t="s">
        <v>865</v>
      </c>
      <c r="C37" s="133" t="s">
        <v>59</v>
      </c>
      <c r="D37" s="133"/>
      <c r="E37" s="242">
        <v>2.8</v>
      </c>
      <c r="F37" s="510"/>
      <c r="G37" s="507"/>
      <c r="H37" s="9"/>
      <c r="I37" s="62" t="e">
        <f>#REF!</f>
        <v>#REF!</v>
      </c>
      <c r="J37" s="56"/>
      <c r="K37" s="1"/>
      <c r="L37" s="1"/>
      <c r="M37" s="1"/>
      <c r="N37" s="15"/>
      <c r="O37" s="15"/>
    </row>
    <row r="38" spans="1:13" s="15" customFormat="1" ht="20.25" customHeight="1">
      <c r="A38" s="104"/>
      <c r="B38" s="91" t="s">
        <v>37</v>
      </c>
      <c r="C38" s="91" t="s">
        <v>44</v>
      </c>
      <c r="D38" s="91">
        <f>1.15*13.5</f>
        <v>15.524999999999999</v>
      </c>
      <c r="E38" s="116">
        <f>D38*E37</f>
        <v>43.46999999999999</v>
      </c>
      <c r="F38" s="518"/>
      <c r="G38" s="509"/>
      <c r="H38" s="8"/>
      <c r="I38" s="62" t="e">
        <f>#REF!</f>
        <v>#REF!</v>
      </c>
      <c r="J38" s="57"/>
      <c r="K38" s="1"/>
      <c r="L38" s="1"/>
      <c r="M38" s="1"/>
    </row>
    <row r="39" spans="1:13" s="15" customFormat="1" ht="24" customHeight="1">
      <c r="A39" s="104"/>
      <c r="B39" s="91" t="s">
        <v>38</v>
      </c>
      <c r="C39" s="91" t="s">
        <v>54</v>
      </c>
      <c r="D39" s="91">
        <f>1.15*1.12</f>
        <v>1.288</v>
      </c>
      <c r="E39" s="86">
        <f>D39*E37</f>
        <v>3.6064</v>
      </c>
      <c r="F39" s="518"/>
      <c r="G39" s="509"/>
      <c r="H39" s="8"/>
      <c r="I39" s="62" t="e">
        <f>#REF!</f>
        <v>#REF!</v>
      </c>
      <c r="J39" s="26"/>
      <c r="K39" s="1"/>
      <c r="L39" s="1"/>
      <c r="M39" s="1"/>
    </row>
    <row r="40" spans="1:15" s="15" customFormat="1" ht="24.75" customHeight="1">
      <c r="A40" s="104"/>
      <c r="B40" s="91" t="s">
        <v>431</v>
      </c>
      <c r="C40" s="91" t="s">
        <v>52</v>
      </c>
      <c r="D40" s="91">
        <v>1.015</v>
      </c>
      <c r="E40" s="86">
        <f>D40*E37</f>
        <v>2.8419999999999996</v>
      </c>
      <c r="F40" s="515"/>
      <c r="G40" s="513"/>
      <c r="H40" s="55" t="e">
        <f>#REF!/#REF!</f>
        <v>#REF!</v>
      </c>
      <c r="I40" s="62" t="e">
        <f>#REF!</f>
        <v>#REF!</v>
      </c>
      <c r="J40" s="56"/>
      <c r="K40" s="5"/>
      <c r="L40" s="5"/>
      <c r="M40" s="5"/>
      <c r="N40" s="1"/>
      <c r="O40" s="1"/>
    </row>
    <row r="41" spans="1:15" s="15" customFormat="1" ht="18" customHeight="1">
      <c r="A41" s="104"/>
      <c r="B41" s="91" t="s">
        <v>87</v>
      </c>
      <c r="C41" s="91" t="s">
        <v>80</v>
      </c>
      <c r="D41" s="91">
        <v>2.9</v>
      </c>
      <c r="E41" s="86">
        <f>D41*E37</f>
        <v>8.12</v>
      </c>
      <c r="F41" s="518"/>
      <c r="G41" s="509"/>
      <c r="H41" s="8"/>
      <c r="I41" s="62" t="e">
        <f>#REF!</f>
        <v>#REF!</v>
      </c>
      <c r="J41" s="57" t="e">
        <f>#REF!</f>
        <v>#REF!</v>
      </c>
      <c r="K41" s="4"/>
      <c r="L41" s="4"/>
      <c r="M41" s="4"/>
      <c r="N41" s="1"/>
      <c r="O41" s="1"/>
    </row>
    <row r="42" spans="1:15" s="15" customFormat="1" ht="26.25" customHeight="1">
      <c r="A42" s="104"/>
      <c r="B42" s="91" t="s">
        <v>346</v>
      </c>
      <c r="C42" s="91" t="s">
        <v>52</v>
      </c>
      <c r="D42" s="91">
        <v>0.0378</v>
      </c>
      <c r="E42" s="86">
        <f>E37*D42</f>
        <v>0.10583999999999999</v>
      </c>
      <c r="F42" s="518"/>
      <c r="G42" s="509"/>
      <c r="H42" s="55" t="e">
        <f>#REF!/#REF!</f>
        <v>#REF!</v>
      </c>
      <c r="I42" s="62" t="e">
        <f>#REF!</f>
        <v>#REF!</v>
      </c>
      <c r="J42" s="1"/>
      <c r="K42" s="1"/>
      <c r="L42" s="1"/>
      <c r="M42" s="1"/>
      <c r="N42" s="1"/>
      <c r="O42" s="1"/>
    </row>
    <row r="43" spans="1:15" s="15" customFormat="1" ht="24" customHeight="1">
      <c r="A43" s="104"/>
      <c r="B43" s="91" t="s">
        <v>276</v>
      </c>
      <c r="C43" s="91" t="s">
        <v>78</v>
      </c>
      <c r="D43" s="91">
        <v>0.0023</v>
      </c>
      <c r="E43" s="112">
        <f>E37*D43</f>
        <v>0.0064399999999999995</v>
      </c>
      <c r="F43" s="518"/>
      <c r="G43" s="509"/>
      <c r="H43" s="1"/>
      <c r="I43" s="62" t="e">
        <f>#REF!</f>
        <v>#REF!</v>
      </c>
      <c r="J43" s="7" t="e">
        <f>#REF!</f>
        <v>#REF!</v>
      </c>
      <c r="K43" s="1"/>
      <c r="L43" s="1"/>
      <c r="M43" s="1"/>
      <c r="N43" s="1"/>
      <c r="O43" s="1"/>
    </row>
    <row r="44" spans="1:15" s="15" customFormat="1" ht="22.5" customHeight="1">
      <c r="A44" s="104"/>
      <c r="B44" s="91" t="s">
        <v>56</v>
      </c>
      <c r="C44" s="91" t="s">
        <v>54</v>
      </c>
      <c r="D44" s="91">
        <v>0.95</v>
      </c>
      <c r="E44" s="86">
        <f>D44*E37</f>
        <v>2.6599999999999997</v>
      </c>
      <c r="F44" s="518"/>
      <c r="G44" s="509"/>
      <c r="H44" s="1"/>
      <c r="I44" s="62" t="e">
        <f>#REF!</f>
        <v>#REF!</v>
      </c>
      <c r="J44" s="1"/>
      <c r="K44" s="1"/>
      <c r="L44" s="1"/>
      <c r="M44" s="1"/>
      <c r="N44" s="1"/>
      <c r="O44" s="1"/>
    </row>
    <row r="45" spans="1:13" ht="29.25" customHeight="1">
      <c r="A45" s="234">
        <v>8</v>
      </c>
      <c r="B45" s="133" t="s">
        <v>725</v>
      </c>
      <c r="C45" s="133" t="s">
        <v>78</v>
      </c>
      <c r="D45" s="133"/>
      <c r="E45" s="401">
        <v>0.28</v>
      </c>
      <c r="F45" s="510"/>
      <c r="G45" s="511"/>
      <c r="H45" s="1"/>
      <c r="I45" s="62" t="e">
        <f>#REF!</f>
        <v>#REF!</v>
      </c>
      <c r="J45" s="1"/>
      <c r="K45" s="1"/>
      <c r="L45" s="1"/>
      <c r="M45" s="1"/>
    </row>
    <row r="46" spans="1:15" ht="19.5" customHeight="1">
      <c r="A46" s="104"/>
      <c r="B46" s="91" t="s">
        <v>88</v>
      </c>
      <c r="C46" s="91" t="s">
        <v>78</v>
      </c>
      <c r="D46" s="91">
        <v>1.01</v>
      </c>
      <c r="E46" s="114">
        <f>E45*D46</f>
        <v>0.28280000000000005</v>
      </c>
      <c r="F46" s="518"/>
      <c r="G46" s="513"/>
      <c r="H46" s="1"/>
      <c r="I46" s="62" t="e">
        <f>#REF!</f>
        <v>#REF!</v>
      </c>
      <c r="J46" s="1"/>
      <c r="K46" s="1"/>
      <c r="L46" s="1"/>
      <c r="M46" s="1"/>
      <c r="N46" s="5"/>
      <c r="O46" s="5"/>
    </row>
    <row r="47" spans="1:15" ht="20.25" customHeight="1">
      <c r="A47" s="104"/>
      <c r="B47" s="91" t="s">
        <v>278</v>
      </c>
      <c r="C47" s="91" t="s">
        <v>53</v>
      </c>
      <c r="D47" s="91">
        <v>3</v>
      </c>
      <c r="E47" s="114">
        <f>E45*D47</f>
        <v>0.8400000000000001</v>
      </c>
      <c r="F47" s="518"/>
      <c r="G47" s="513"/>
      <c r="H47" s="55" t="e">
        <f>#REF!/#REF!</f>
        <v>#REF!</v>
      </c>
      <c r="I47" s="62" t="e">
        <f>#REF!</f>
        <v>#REF!</v>
      </c>
      <c r="N47" s="4"/>
      <c r="O47" s="4"/>
    </row>
    <row r="48" spans="1:10" ht="26.25" customHeight="1">
      <c r="A48" s="104"/>
      <c r="B48" s="91" t="s">
        <v>89</v>
      </c>
      <c r="C48" s="91" t="s">
        <v>53</v>
      </c>
      <c r="D48" s="91">
        <v>4</v>
      </c>
      <c r="E48" s="114">
        <f>E45*D48</f>
        <v>1.12</v>
      </c>
      <c r="F48" s="518"/>
      <c r="G48" s="513"/>
      <c r="H48" s="8"/>
      <c r="I48" s="62" t="e">
        <f>#REF!</f>
        <v>#REF!</v>
      </c>
      <c r="J48" s="7" t="e">
        <f>#REF!</f>
        <v>#REF!</v>
      </c>
    </row>
    <row r="49" spans="1:9" ht="47.25" customHeight="1">
      <c r="A49" s="234">
        <v>9</v>
      </c>
      <c r="B49" s="133" t="s">
        <v>871</v>
      </c>
      <c r="C49" s="410" t="s">
        <v>77</v>
      </c>
      <c r="D49" s="133"/>
      <c r="E49" s="242">
        <v>38</v>
      </c>
      <c r="F49" s="510"/>
      <c r="G49" s="511"/>
      <c r="H49" s="9"/>
      <c r="I49" s="62" t="e">
        <f>#REF!</f>
        <v>#REF!</v>
      </c>
    </row>
    <row r="50" spans="1:9" ht="27" customHeight="1">
      <c r="A50" s="104"/>
      <c r="B50" s="91" t="s">
        <v>869</v>
      </c>
      <c r="C50" s="91" t="s">
        <v>44</v>
      </c>
      <c r="D50" s="91">
        <f>1.15*0.186</f>
        <v>0.21389999999999998</v>
      </c>
      <c r="E50" s="86">
        <f>D50*E49</f>
        <v>8.1282</v>
      </c>
      <c r="F50" s="518"/>
      <c r="G50" s="513"/>
      <c r="H50" s="8"/>
      <c r="I50" s="62" t="e">
        <f>#REF!</f>
        <v>#REF!</v>
      </c>
    </row>
    <row r="51" spans="1:15" s="5" customFormat="1" ht="32.25" customHeight="1">
      <c r="A51" s="104"/>
      <c r="B51" s="91" t="s">
        <v>870</v>
      </c>
      <c r="C51" s="91" t="s">
        <v>54</v>
      </c>
      <c r="D51" s="91">
        <f>1.15*0.0016</f>
        <v>0.0018399999999999998</v>
      </c>
      <c r="E51" s="86">
        <f>D51*E49</f>
        <v>0.06992</v>
      </c>
      <c r="F51" s="518"/>
      <c r="G51" s="513"/>
      <c r="H51" s="9"/>
      <c r="I51" s="62" t="e">
        <f>#REF!</f>
        <v>#REF!</v>
      </c>
      <c r="J51" s="3"/>
      <c r="K51" s="3"/>
      <c r="L51" s="3"/>
      <c r="M51" s="3"/>
      <c r="N51" s="1"/>
      <c r="O51" s="1"/>
    </row>
    <row r="52" spans="1:15" s="4" customFormat="1" ht="54.75" customHeight="1">
      <c r="A52" s="234">
        <v>10</v>
      </c>
      <c r="B52" s="133" t="s">
        <v>875</v>
      </c>
      <c r="C52" s="133" t="s">
        <v>80</v>
      </c>
      <c r="D52" s="133"/>
      <c r="E52" s="242">
        <v>98</v>
      </c>
      <c r="F52" s="510"/>
      <c r="G52" s="530"/>
      <c r="H52" s="8"/>
      <c r="I52" s="62" t="e">
        <f>#REF!</f>
        <v>#REF!</v>
      </c>
      <c r="J52" s="3"/>
      <c r="K52" s="3"/>
      <c r="L52" s="3"/>
      <c r="M52" s="3"/>
      <c r="N52" s="1"/>
      <c r="O52" s="1"/>
    </row>
    <row r="53" spans="1:15" ht="35.25" customHeight="1">
      <c r="A53" s="181"/>
      <c r="B53" s="91" t="s">
        <v>562</v>
      </c>
      <c r="C53" s="91" t="s">
        <v>44</v>
      </c>
      <c r="D53" s="91">
        <v>1.069</v>
      </c>
      <c r="E53" s="86">
        <f>D53*E52</f>
        <v>104.762</v>
      </c>
      <c r="F53" s="518"/>
      <c r="G53" s="531"/>
      <c r="H53" s="55" t="e">
        <f>#REF!/#REF!</f>
        <v>#REF!</v>
      </c>
      <c r="I53" s="62" t="e">
        <f>#REF!</f>
        <v>#REF!</v>
      </c>
      <c r="N53" s="3"/>
      <c r="O53" s="3"/>
    </row>
    <row r="54" spans="1:15" ht="24.75" customHeight="1">
      <c r="A54" s="181"/>
      <c r="B54" s="91" t="s">
        <v>872</v>
      </c>
      <c r="C54" s="87" t="s">
        <v>62</v>
      </c>
      <c r="D54" s="91">
        <v>0.028</v>
      </c>
      <c r="E54" s="86">
        <f>D54*E52</f>
        <v>2.744</v>
      </c>
      <c r="F54" s="518"/>
      <c r="G54" s="531"/>
      <c r="H54" s="8"/>
      <c r="I54" s="62" t="e">
        <f>#REF!</f>
        <v>#REF!</v>
      </c>
      <c r="J54" s="7" t="e">
        <f>#REF!</f>
        <v>#REF!</v>
      </c>
      <c r="N54" s="3"/>
      <c r="O54" s="3"/>
    </row>
    <row r="55" spans="1:15" ht="25.5" customHeight="1">
      <c r="A55" s="181"/>
      <c r="B55" s="91" t="s">
        <v>479</v>
      </c>
      <c r="C55" s="91" t="s">
        <v>54</v>
      </c>
      <c r="D55" s="91">
        <v>0.026000000000000002</v>
      </c>
      <c r="E55" s="86">
        <f>D55*E52</f>
        <v>2.548</v>
      </c>
      <c r="F55" s="518"/>
      <c r="G55" s="531"/>
      <c r="H55" s="8"/>
      <c r="I55" s="62" t="e">
        <f>#REF!</f>
        <v>#REF!</v>
      </c>
      <c r="N55" s="3"/>
      <c r="O55" s="3"/>
    </row>
    <row r="56" spans="1:15" ht="25.5" customHeight="1">
      <c r="A56" s="181"/>
      <c r="B56" s="91" t="s">
        <v>876</v>
      </c>
      <c r="C56" s="91" t="s">
        <v>52</v>
      </c>
      <c r="D56" s="91">
        <v>0.052</v>
      </c>
      <c r="E56" s="114">
        <f>D56*E52</f>
        <v>5.096</v>
      </c>
      <c r="F56" s="518"/>
      <c r="G56" s="531"/>
      <c r="H56" s="8"/>
      <c r="I56" s="62" t="e">
        <f>#REF!</f>
        <v>#REF!</v>
      </c>
      <c r="N56" s="3"/>
      <c r="O56" s="3"/>
    </row>
    <row r="57" spans="1:15" ht="57" customHeight="1">
      <c r="A57" s="234">
        <v>11</v>
      </c>
      <c r="B57" s="133" t="s">
        <v>874</v>
      </c>
      <c r="C57" s="133" t="s">
        <v>80</v>
      </c>
      <c r="D57" s="133"/>
      <c r="E57" s="242">
        <v>615</v>
      </c>
      <c r="F57" s="510"/>
      <c r="G57" s="530"/>
      <c r="I57" s="62" t="e">
        <f>#REF!</f>
        <v>#REF!</v>
      </c>
      <c r="N57" s="3"/>
      <c r="O57" s="3"/>
    </row>
    <row r="58" spans="1:13" s="3" customFormat="1" ht="27" customHeight="1">
      <c r="A58" s="181"/>
      <c r="B58" s="91" t="s">
        <v>58</v>
      </c>
      <c r="C58" s="91" t="s">
        <v>44</v>
      </c>
      <c r="D58" s="91">
        <v>0.93</v>
      </c>
      <c r="E58" s="86">
        <f>D58*E57</f>
        <v>571.95</v>
      </c>
      <c r="F58" s="518"/>
      <c r="G58" s="531"/>
      <c r="H58" s="55" t="e">
        <f>#REF!/#REF!</f>
        <v>#REF!</v>
      </c>
      <c r="I58" s="62" t="e">
        <f>#REF!</f>
        <v>#REF!</v>
      </c>
      <c r="J58" s="4"/>
      <c r="K58" s="4"/>
      <c r="L58" s="4"/>
      <c r="M58" s="4"/>
    </row>
    <row r="59" spans="1:13" s="3" customFormat="1" ht="24.75" customHeight="1">
      <c r="A59" s="181"/>
      <c r="B59" s="91" t="s">
        <v>478</v>
      </c>
      <c r="C59" s="87" t="s">
        <v>62</v>
      </c>
      <c r="D59" s="91">
        <v>0.024</v>
      </c>
      <c r="E59" s="86">
        <f>D59*E57</f>
        <v>14.76</v>
      </c>
      <c r="F59" s="518"/>
      <c r="G59" s="531"/>
      <c r="H59" s="4"/>
      <c r="I59" s="62" t="e">
        <f>#REF!</f>
        <v>#REF!</v>
      </c>
      <c r="J59" s="53" t="e">
        <f>#REF!</f>
        <v>#REF!</v>
      </c>
      <c r="K59" s="4"/>
      <c r="L59" s="4"/>
      <c r="M59" s="4"/>
    </row>
    <row r="60" spans="1:13" s="3" customFormat="1" ht="22.5" customHeight="1">
      <c r="A60" s="181"/>
      <c r="B60" s="91" t="s">
        <v>479</v>
      </c>
      <c r="C60" s="91" t="s">
        <v>54</v>
      </c>
      <c r="D60" s="91">
        <v>0.026000000000000002</v>
      </c>
      <c r="E60" s="86">
        <f>D60*E57</f>
        <v>15.990000000000002</v>
      </c>
      <c r="F60" s="518"/>
      <c r="G60" s="531"/>
      <c r="H60" s="4"/>
      <c r="I60" s="62" t="e">
        <f>#REF!</f>
        <v>#REF!</v>
      </c>
      <c r="J60" s="4"/>
      <c r="K60" s="4"/>
      <c r="L60" s="4"/>
      <c r="M60" s="4"/>
    </row>
    <row r="61" spans="1:13" s="3" customFormat="1" ht="22.5" customHeight="1">
      <c r="A61" s="181"/>
      <c r="B61" s="91" t="s">
        <v>480</v>
      </c>
      <c r="C61" s="91" t="s">
        <v>52</v>
      </c>
      <c r="D61" s="91">
        <v>0.0255</v>
      </c>
      <c r="E61" s="114">
        <f>D61*E57</f>
        <v>15.6825</v>
      </c>
      <c r="F61" s="518"/>
      <c r="G61" s="531"/>
      <c r="H61" s="4"/>
      <c r="I61" s="62" t="e">
        <f>#REF!</f>
        <v>#REF!</v>
      </c>
      <c r="J61" s="4"/>
      <c r="K61" s="4"/>
      <c r="L61" s="4"/>
      <c r="M61" s="4"/>
    </row>
    <row r="62" spans="1:13" s="3" customFormat="1" ht="55.5" customHeight="1">
      <c r="A62" s="198" t="s">
        <v>189</v>
      </c>
      <c r="B62" s="133" t="s">
        <v>866</v>
      </c>
      <c r="C62" s="133" t="s">
        <v>74</v>
      </c>
      <c r="D62" s="133"/>
      <c r="E62" s="356">
        <v>615</v>
      </c>
      <c r="F62" s="510"/>
      <c r="G62" s="511"/>
      <c r="H62" s="4"/>
      <c r="I62" s="62" t="e">
        <f>#REF!</f>
        <v>#REF!</v>
      </c>
      <c r="J62" s="4"/>
      <c r="K62" s="4"/>
      <c r="L62" s="4"/>
      <c r="M62" s="4"/>
    </row>
    <row r="63" spans="1:13" s="3" customFormat="1" ht="30.75" customHeight="1">
      <c r="A63" s="181"/>
      <c r="B63" s="87" t="s">
        <v>856</v>
      </c>
      <c r="C63" s="91" t="s">
        <v>44</v>
      </c>
      <c r="D63" s="91">
        <f>1.15*(65.8+85.6)/2/100*70%+1.15*(11.5+15.8)/2/100</f>
        <v>0.7663599999999998</v>
      </c>
      <c r="E63" s="103">
        <f>D63*E62</f>
        <v>471.3113999999999</v>
      </c>
      <c r="F63" s="518"/>
      <c r="G63" s="513"/>
      <c r="H63" s="55" t="e">
        <f>#REF!/#REF!</f>
        <v>#REF!</v>
      </c>
      <c r="I63" s="62" t="e">
        <f>#REF!</f>
        <v>#REF!</v>
      </c>
      <c r="J63" s="66"/>
      <c r="K63" s="56"/>
      <c r="L63" s="66"/>
      <c r="M63" s="56"/>
    </row>
    <row r="64" spans="1:15" s="3" customFormat="1" ht="29.25" customHeight="1">
      <c r="A64" s="181"/>
      <c r="B64" s="91" t="s">
        <v>305</v>
      </c>
      <c r="C64" s="91" t="s">
        <v>54</v>
      </c>
      <c r="D64" s="91">
        <f>1.15*(1+1.2)/2/100*70%+1.15*0.02/100</f>
        <v>0.009085</v>
      </c>
      <c r="E64" s="103">
        <f>D64*E62</f>
        <v>5.587275</v>
      </c>
      <c r="F64" s="518"/>
      <c r="G64" s="513"/>
      <c r="H64" s="8"/>
      <c r="I64" s="62" t="e">
        <f>#REF!</f>
        <v>#REF!</v>
      </c>
      <c r="J64" s="66"/>
      <c r="K64" s="57" t="e">
        <f>#REF!</f>
        <v>#REF!</v>
      </c>
      <c r="L64" s="66"/>
      <c r="M64" s="26"/>
      <c r="N64" s="4"/>
      <c r="O64" s="4"/>
    </row>
    <row r="65" spans="1:15" s="3" customFormat="1" ht="30" customHeight="1">
      <c r="A65" s="181"/>
      <c r="B65" s="91" t="s">
        <v>179</v>
      </c>
      <c r="C65" s="91" t="s">
        <v>94</v>
      </c>
      <c r="D65" s="91">
        <f>(79+29+92+32)/2/100</f>
        <v>1.16</v>
      </c>
      <c r="E65" s="246">
        <f>E62*D65</f>
        <v>713.4</v>
      </c>
      <c r="F65" s="518"/>
      <c r="G65" s="513"/>
      <c r="H65" s="28"/>
      <c r="I65" s="11" t="e">
        <f>SUM(I7:I64)</f>
        <v>#REF!</v>
      </c>
      <c r="J65" s="11"/>
      <c r="N65" s="4"/>
      <c r="O65" s="4"/>
    </row>
    <row r="66" spans="1:15" s="3" customFormat="1" ht="25.5" customHeight="1">
      <c r="A66" s="181"/>
      <c r="B66" s="91" t="s">
        <v>306</v>
      </c>
      <c r="C66" s="91" t="s">
        <v>54</v>
      </c>
      <c r="D66" s="91">
        <f>(1.6+1.8)/2/100*70%+0.42/100</f>
        <v>0.0161</v>
      </c>
      <c r="E66" s="103">
        <f>D66*E62</f>
        <v>9.9015</v>
      </c>
      <c r="F66" s="518"/>
      <c r="G66" s="513"/>
      <c r="H66" s="29"/>
      <c r="I66" s="11" t="e">
        <f>I65/2</f>
        <v>#REF!</v>
      </c>
      <c r="J66" s="8" t="e">
        <f>SUM(J7:J65)</f>
        <v>#REF!</v>
      </c>
      <c r="N66" s="4"/>
      <c r="O66" s="4"/>
    </row>
    <row r="67" spans="1:15" s="3" customFormat="1" ht="42.75" customHeight="1">
      <c r="A67" s="198" t="s">
        <v>123</v>
      </c>
      <c r="B67" s="133" t="s">
        <v>868</v>
      </c>
      <c r="C67" s="133" t="s">
        <v>74</v>
      </c>
      <c r="D67" s="133"/>
      <c r="E67" s="356">
        <v>615</v>
      </c>
      <c r="F67" s="510"/>
      <c r="G67" s="511"/>
      <c r="H67" s="29"/>
      <c r="I67" s="11"/>
      <c r="N67" s="4"/>
      <c r="O67" s="4"/>
    </row>
    <row r="68" spans="1:15" s="3" customFormat="1" ht="23.25" customHeight="1">
      <c r="A68" s="181"/>
      <c r="B68" s="91" t="s">
        <v>301</v>
      </c>
      <c r="C68" s="91" t="s">
        <v>44</v>
      </c>
      <c r="D68" s="91">
        <f>1.15*(65.8+85.6)/2/100*30%</f>
        <v>0.2611649999999999</v>
      </c>
      <c r="E68" s="103">
        <f>D68*E67</f>
        <v>160.61647499999995</v>
      </c>
      <c r="F68" s="518"/>
      <c r="G68" s="513"/>
      <c r="H68" s="28"/>
      <c r="I68" s="19"/>
      <c r="J68" s="19"/>
      <c r="K68" s="23"/>
      <c r="L68" s="23"/>
      <c r="M68" s="23"/>
      <c r="N68" s="4"/>
      <c r="O68" s="4"/>
    </row>
    <row r="69" spans="1:15" s="4" customFormat="1" ht="25.5" customHeight="1">
      <c r="A69" s="181"/>
      <c r="B69" s="91" t="s">
        <v>302</v>
      </c>
      <c r="C69" s="91" t="s">
        <v>54</v>
      </c>
      <c r="D69" s="91">
        <f>1.15*(1+1.2)/2/100*30%</f>
        <v>0.0037949999999999998</v>
      </c>
      <c r="E69" s="103">
        <f>D69*E67</f>
        <v>2.333925</v>
      </c>
      <c r="F69" s="518"/>
      <c r="G69" s="513"/>
      <c r="H69" s="29"/>
      <c r="I69" s="11"/>
      <c r="J69" s="3"/>
      <c r="K69" s="3"/>
      <c r="L69" s="3"/>
      <c r="M69" s="3"/>
      <c r="N69" s="5"/>
      <c r="O69" s="5"/>
    </row>
    <row r="70" spans="1:13" s="4" customFormat="1" ht="25.5" customHeight="1">
      <c r="A70" s="181"/>
      <c r="B70" s="91" t="s">
        <v>178</v>
      </c>
      <c r="C70" s="91" t="s">
        <v>94</v>
      </c>
      <c r="D70" s="91">
        <v>0.63</v>
      </c>
      <c r="E70" s="103">
        <f>D70*E67</f>
        <v>387.45</v>
      </c>
      <c r="F70" s="518"/>
      <c r="G70" s="513"/>
      <c r="H70" s="28"/>
      <c r="I70" s="19"/>
      <c r="J70" s="23"/>
      <c r="K70" s="23"/>
      <c r="L70" s="23"/>
      <c r="M70" s="23"/>
    </row>
    <row r="71" spans="1:15" s="4" customFormat="1" ht="24.75" customHeight="1">
      <c r="A71" s="181"/>
      <c r="B71" s="91" t="s">
        <v>303</v>
      </c>
      <c r="C71" s="91" t="s">
        <v>54</v>
      </c>
      <c r="D71" s="91">
        <f>(1.6+1.8)/2/100*30%</f>
        <v>0.0051</v>
      </c>
      <c r="E71" s="103">
        <f>D71*E67</f>
        <v>3.1365000000000003</v>
      </c>
      <c r="F71" s="518"/>
      <c r="G71" s="513"/>
      <c r="H71" s="11"/>
      <c r="I71" s="3"/>
      <c r="J71" s="3"/>
      <c r="K71" s="3"/>
      <c r="L71" s="3"/>
      <c r="M71" s="3"/>
      <c r="N71" s="1"/>
      <c r="O71" s="1"/>
    </row>
    <row r="72" spans="1:15" s="4" customFormat="1" ht="48.75" customHeight="1">
      <c r="A72" s="198" t="s">
        <v>144</v>
      </c>
      <c r="B72" s="133" t="s">
        <v>867</v>
      </c>
      <c r="C72" s="133" t="s">
        <v>74</v>
      </c>
      <c r="D72" s="133"/>
      <c r="E72" s="242">
        <v>65</v>
      </c>
      <c r="F72" s="510"/>
      <c r="G72" s="511"/>
      <c r="H72" s="11"/>
      <c r="I72" s="3"/>
      <c r="J72" s="3"/>
      <c r="K72" s="3"/>
      <c r="L72" s="3"/>
      <c r="M72" s="3"/>
      <c r="N72" s="1"/>
      <c r="O72" s="1"/>
    </row>
    <row r="73" spans="1:15" s="4" customFormat="1" ht="31.5" customHeight="1">
      <c r="A73" s="181"/>
      <c r="B73" s="91" t="s">
        <v>176</v>
      </c>
      <c r="C73" s="91" t="s">
        <v>44</v>
      </c>
      <c r="D73" s="91">
        <f>1.15*0.388</f>
        <v>0.4462</v>
      </c>
      <c r="E73" s="86">
        <f>D73*E72</f>
        <v>29.003</v>
      </c>
      <c r="F73" s="518"/>
      <c r="G73" s="513"/>
      <c r="H73" s="11"/>
      <c r="I73" s="3"/>
      <c r="J73" s="3"/>
      <c r="K73" s="3"/>
      <c r="L73" s="3"/>
      <c r="M73" s="3"/>
      <c r="N73" s="1"/>
      <c r="O73" s="1"/>
    </row>
    <row r="74" spans="1:15" s="5" customFormat="1" ht="30" customHeight="1">
      <c r="A74" s="181"/>
      <c r="B74" s="91" t="s">
        <v>127</v>
      </c>
      <c r="C74" s="91" t="s">
        <v>54</v>
      </c>
      <c r="D74" s="91">
        <f>1.15*0.0003</f>
        <v>0.00034499999999999993</v>
      </c>
      <c r="E74" s="86">
        <f>D74*E72</f>
        <v>0.022424999999999997</v>
      </c>
      <c r="F74" s="518"/>
      <c r="G74" s="513"/>
      <c r="H74" s="7"/>
      <c r="I74" s="3"/>
      <c r="J74" s="3"/>
      <c r="K74" s="3"/>
      <c r="L74" s="3"/>
      <c r="M74" s="3"/>
      <c r="N74" s="24"/>
      <c r="O74" s="24"/>
    </row>
    <row r="75" spans="1:15" s="4" customFormat="1" ht="22.5" customHeight="1">
      <c r="A75" s="181"/>
      <c r="B75" s="91" t="s">
        <v>767</v>
      </c>
      <c r="C75" s="91" t="s">
        <v>94</v>
      </c>
      <c r="D75" s="91">
        <v>0.24600000000000002</v>
      </c>
      <c r="E75" s="86">
        <f>D75*E72</f>
        <v>15.990000000000002</v>
      </c>
      <c r="F75" s="518"/>
      <c r="G75" s="513"/>
      <c r="H75" s="7"/>
      <c r="I75" s="3"/>
      <c r="J75" s="3"/>
      <c r="K75" s="3"/>
      <c r="L75" s="3"/>
      <c r="M75" s="3"/>
      <c r="N75" s="1"/>
      <c r="O75" s="1"/>
    </row>
    <row r="76" spans="1:15" ht="24.75" customHeight="1">
      <c r="A76" s="181"/>
      <c r="B76" s="91" t="s">
        <v>129</v>
      </c>
      <c r="C76" s="91" t="s">
        <v>94</v>
      </c>
      <c r="D76" s="91">
        <v>0.027000000000000003</v>
      </c>
      <c r="E76" s="86">
        <f>D76*E72</f>
        <v>1.7550000000000001</v>
      </c>
      <c r="F76" s="518"/>
      <c r="G76" s="513"/>
      <c r="N76" s="24"/>
      <c r="O76" s="24"/>
    </row>
    <row r="77" spans="1:7" ht="24.75" customHeight="1">
      <c r="A77" s="181"/>
      <c r="B77" s="91" t="s">
        <v>56</v>
      </c>
      <c r="C77" s="91" t="s">
        <v>54</v>
      </c>
      <c r="D77" s="91">
        <v>0.0019</v>
      </c>
      <c r="E77" s="86">
        <f>D77*E72</f>
        <v>0.1235</v>
      </c>
      <c r="F77" s="518"/>
      <c r="G77" s="513"/>
    </row>
    <row r="78" spans="1:7" ht="38.25" customHeight="1">
      <c r="A78" s="234">
        <v>15</v>
      </c>
      <c r="B78" s="133" t="s">
        <v>709</v>
      </c>
      <c r="C78" s="359" t="s">
        <v>180</v>
      </c>
      <c r="D78" s="133"/>
      <c r="E78" s="243">
        <v>3.7</v>
      </c>
      <c r="F78" s="510"/>
      <c r="G78" s="511"/>
    </row>
    <row r="79" spans="1:15" s="24" customFormat="1" ht="25.5" customHeight="1">
      <c r="A79" s="181"/>
      <c r="B79" s="91" t="s">
        <v>184</v>
      </c>
      <c r="C79" s="91" t="s">
        <v>44</v>
      </c>
      <c r="D79" s="91">
        <f>1.15*45.9</f>
        <v>52.785</v>
      </c>
      <c r="E79" s="86">
        <f>D79*E78</f>
        <v>195.3045</v>
      </c>
      <c r="F79" s="518"/>
      <c r="G79" s="513"/>
      <c r="H79" s="11"/>
      <c r="I79" s="11"/>
      <c r="J79" s="3"/>
      <c r="K79" s="3"/>
      <c r="L79" s="3"/>
      <c r="M79" s="3"/>
      <c r="N79" s="1"/>
      <c r="O79" s="1"/>
    </row>
    <row r="80" spans="1:7" ht="24.75" customHeight="1">
      <c r="A80" s="181"/>
      <c r="B80" s="91" t="s">
        <v>710</v>
      </c>
      <c r="C80" s="91" t="s">
        <v>54</v>
      </c>
      <c r="D80" s="91">
        <f>1.15*0.23</f>
        <v>0.2645</v>
      </c>
      <c r="E80" s="86">
        <f>D80*E78</f>
        <v>0.9786500000000001</v>
      </c>
      <c r="F80" s="518"/>
      <c r="G80" s="513"/>
    </row>
    <row r="81" spans="1:15" s="24" customFormat="1" ht="24.75" customHeight="1">
      <c r="A81" s="181"/>
      <c r="B81" s="91" t="s">
        <v>181</v>
      </c>
      <c r="C81" s="91" t="s">
        <v>72</v>
      </c>
      <c r="D81" s="91">
        <v>0.035</v>
      </c>
      <c r="E81" s="86">
        <f>D81*E78</f>
        <v>0.12950000000000003</v>
      </c>
      <c r="F81" s="518"/>
      <c r="G81" s="513"/>
      <c r="H81" s="11"/>
      <c r="I81" s="11"/>
      <c r="J81" s="3"/>
      <c r="K81" s="3"/>
      <c r="L81" s="3"/>
      <c r="M81" s="3"/>
      <c r="N81" s="1"/>
      <c r="O81" s="1"/>
    </row>
    <row r="82" spans="1:7" ht="23.25" customHeight="1">
      <c r="A82" s="181"/>
      <c r="B82" s="91" t="s">
        <v>182</v>
      </c>
      <c r="C82" s="91" t="s">
        <v>52</v>
      </c>
      <c r="D82" s="91">
        <v>0.009</v>
      </c>
      <c r="E82" s="86">
        <f>D82*E78</f>
        <v>0.033299999999999996</v>
      </c>
      <c r="F82" s="518"/>
      <c r="G82" s="513"/>
    </row>
    <row r="83" spans="1:7" ht="24" customHeight="1">
      <c r="A83" s="181"/>
      <c r="B83" s="91" t="s">
        <v>183</v>
      </c>
      <c r="C83" s="91" t="s">
        <v>80</v>
      </c>
      <c r="D83" s="91">
        <v>3.4</v>
      </c>
      <c r="E83" s="86">
        <f>D83*E78</f>
        <v>12.58</v>
      </c>
      <c r="F83" s="518"/>
      <c r="G83" s="513"/>
    </row>
    <row r="84" spans="1:7" ht="32.25" customHeight="1">
      <c r="A84" s="345"/>
      <c r="B84" s="445" t="s">
        <v>934</v>
      </c>
      <c r="C84" s="247"/>
      <c r="D84" s="247"/>
      <c r="E84" s="247"/>
      <c r="F84" s="607"/>
      <c r="G84" s="608"/>
    </row>
    <row r="85" spans="1:7" ht="40.5">
      <c r="A85" s="234">
        <v>1</v>
      </c>
      <c r="B85" s="133" t="s">
        <v>782</v>
      </c>
      <c r="C85" s="133" t="s">
        <v>59</v>
      </c>
      <c r="D85" s="133"/>
      <c r="E85" s="349">
        <v>58.1</v>
      </c>
      <c r="F85" s="510"/>
      <c r="G85" s="511"/>
    </row>
    <row r="86" spans="1:7" ht="29.25" customHeight="1">
      <c r="A86" s="181"/>
      <c r="B86" s="91" t="s">
        <v>0</v>
      </c>
      <c r="C86" s="91" t="s">
        <v>44</v>
      </c>
      <c r="D86" s="91">
        <f>1.15*0.15</f>
        <v>0.1725</v>
      </c>
      <c r="E86" s="86">
        <f>E85*D86</f>
        <v>10.02225</v>
      </c>
      <c r="F86" s="518"/>
      <c r="G86" s="513"/>
    </row>
    <row r="87" spans="1:7" ht="33" customHeight="1">
      <c r="A87" s="181"/>
      <c r="B87" s="91" t="s">
        <v>1</v>
      </c>
      <c r="C87" s="87" t="s">
        <v>62</v>
      </c>
      <c r="D87" s="91">
        <f>1.15*0.0216</f>
        <v>0.02484</v>
      </c>
      <c r="E87" s="86">
        <f>E85*D87</f>
        <v>1.4432040000000002</v>
      </c>
      <c r="F87" s="518"/>
      <c r="G87" s="513"/>
    </row>
    <row r="88" spans="1:7" ht="24" customHeight="1">
      <c r="A88" s="181"/>
      <c r="B88" s="91" t="s">
        <v>2</v>
      </c>
      <c r="C88" s="87" t="s">
        <v>62</v>
      </c>
      <c r="D88" s="112">
        <f>1.15*0.0273</f>
        <v>0.031395</v>
      </c>
      <c r="E88" s="86">
        <f>E85*D88</f>
        <v>1.8240495</v>
      </c>
      <c r="F88" s="518"/>
      <c r="G88" s="513"/>
    </row>
    <row r="89" spans="1:7" ht="23.25" customHeight="1">
      <c r="A89" s="181"/>
      <c r="B89" s="91" t="s">
        <v>3</v>
      </c>
      <c r="C89" s="87" t="s">
        <v>62</v>
      </c>
      <c r="D89" s="112">
        <f>1.15*0.0097</f>
        <v>0.011155</v>
      </c>
      <c r="E89" s="86">
        <f>E85*D89</f>
        <v>0.6481055</v>
      </c>
      <c r="F89" s="518"/>
      <c r="G89" s="513"/>
    </row>
    <row r="90" spans="1:7" ht="24.75" customHeight="1">
      <c r="A90" s="181"/>
      <c r="B90" s="91" t="s">
        <v>93</v>
      </c>
      <c r="C90" s="91" t="s">
        <v>52</v>
      </c>
      <c r="D90" s="86">
        <v>1.22</v>
      </c>
      <c r="E90" s="86">
        <f>E85*D90</f>
        <v>70.882</v>
      </c>
      <c r="F90" s="515"/>
      <c r="G90" s="513"/>
    </row>
    <row r="91" spans="1:7" ht="25.5" customHeight="1">
      <c r="A91" s="181"/>
      <c r="B91" s="91" t="s">
        <v>73</v>
      </c>
      <c r="C91" s="91" t="s">
        <v>52</v>
      </c>
      <c r="D91" s="114">
        <v>0.07</v>
      </c>
      <c r="E91" s="86">
        <f>E85*D91</f>
        <v>4.067</v>
      </c>
      <c r="F91" s="518"/>
      <c r="G91" s="513"/>
    </row>
    <row r="92" spans="1:7" ht="54" customHeight="1">
      <c r="A92" s="352">
        <v>2</v>
      </c>
      <c r="B92" s="201" t="s">
        <v>783</v>
      </c>
      <c r="C92" s="201" t="s">
        <v>61</v>
      </c>
      <c r="D92" s="353"/>
      <c r="E92" s="354">
        <v>121.2</v>
      </c>
      <c r="F92" s="609"/>
      <c r="G92" s="610"/>
    </row>
    <row r="93" spans="1:7" ht="23.25" customHeight="1">
      <c r="A93" s="239"/>
      <c r="B93" s="91" t="s">
        <v>280</v>
      </c>
      <c r="C93" s="91" t="s">
        <v>44</v>
      </c>
      <c r="D93" s="113">
        <f>1.15*0.74</f>
        <v>0.851</v>
      </c>
      <c r="E93" s="154">
        <f>D93*E92</f>
        <v>103.1412</v>
      </c>
      <c r="F93" s="519"/>
      <c r="G93" s="509"/>
    </row>
    <row r="94" spans="1:7" ht="20.25" customHeight="1">
      <c r="A94" s="239"/>
      <c r="B94" s="190" t="s">
        <v>773</v>
      </c>
      <c r="C94" s="190" t="s">
        <v>54</v>
      </c>
      <c r="D94" s="193">
        <f>1.15*0.0071</f>
        <v>0.008165</v>
      </c>
      <c r="E94" s="154">
        <f>E92*D94</f>
        <v>0.9895980000000001</v>
      </c>
      <c r="F94" s="519"/>
      <c r="G94" s="509"/>
    </row>
    <row r="95" spans="1:7" ht="21" customHeight="1">
      <c r="A95" s="239"/>
      <c r="B95" s="190" t="s">
        <v>774</v>
      </c>
      <c r="C95" s="190" t="s">
        <v>61</v>
      </c>
      <c r="D95" s="193">
        <v>1</v>
      </c>
      <c r="E95" s="341">
        <f>E92*D95</f>
        <v>121.2</v>
      </c>
      <c r="F95" s="519"/>
      <c r="G95" s="509"/>
    </row>
    <row r="96" spans="1:7" ht="21.75" customHeight="1">
      <c r="A96" s="181"/>
      <c r="B96" s="91" t="s">
        <v>788</v>
      </c>
      <c r="C96" s="91" t="s">
        <v>59</v>
      </c>
      <c r="D96" s="113">
        <v>0.059000000000000004</v>
      </c>
      <c r="E96" s="122">
        <f>E92*D96</f>
        <v>7.1508</v>
      </c>
      <c r="F96" s="524"/>
      <c r="G96" s="509"/>
    </row>
    <row r="97" spans="1:7" ht="23.25" customHeight="1">
      <c r="A97" s="239"/>
      <c r="B97" s="91" t="s">
        <v>691</v>
      </c>
      <c r="C97" s="91" t="s">
        <v>59</v>
      </c>
      <c r="D97" s="113">
        <v>0.0006</v>
      </c>
      <c r="E97" s="122">
        <f>E92*D97</f>
        <v>0.07271999999999999</v>
      </c>
      <c r="F97" s="519"/>
      <c r="G97" s="509"/>
    </row>
    <row r="98" spans="1:7" ht="18.75" customHeight="1">
      <c r="A98" s="236"/>
      <c r="B98" s="91" t="s">
        <v>56</v>
      </c>
      <c r="C98" s="190" t="s">
        <v>54</v>
      </c>
      <c r="D98" s="193">
        <v>0.096</v>
      </c>
      <c r="E98" s="191">
        <f>E92*D98</f>
        <v>11.635200000000001</v>
      </c>
      <c r="F98" s="519"/>
      <c r="G98" s="509"/>
    </row>
    <row r="99" spans="1:7" ht="49.5" customHeight="1">
      <c r="A99" s="347">
        <v>3</v>
      </c>
      <c r="B99" s="245" t="s">
        <v>775</v>
      </c>
      <c r="C99" s="348" t="s">
        <v>74</v>
      </c>
      <c r="D99" s="245"/>
      <c r="E99" s="349">
        <v>829.5</v>
      </c>
      <c r="F99" s="510"/>
      <c r="G99" s="511"/>
    </row>
    <row r="100" spans="1:7" ht="22.5" customHeight="1">
      <c r="A100" s="239"/>
      <c r="B100" s="91" t="s">
        <v>776</v>
      </c>
      <c r="C100" s="91" t="s">
        <v>44</v>
      </c>
      <c r="D100" s="113">
        <f>1.15*0.92</f>
        <v>1.058</v>
      </c>
      <c r="E100" s="103">
        <f>D100*E99</f>
        <v>877.611</v>
      </c>
      <c r="F100" s="519"/>
      <c r="G100" s="513"/>
    </row>
    <row r="101" spans="1:7" ht="20.25" customHeight="1">
      <c r="A101" s="239"/>
      <c r="B101" s="190" t="s">
        <v>777</v>
      </c>
      <c r="C101" s="342" t="s">
        <v>54</v>
      </c>
      <c r="D101" s="190">
        <f>1.15*0.0153</f>
        <v>0.017595</v>
      </c>
      <c r="E101" s="343">
        <f>E99*D101</f>
        <v>14.5950525</v>
      </c>
      <c r="F101" s="518"/>
      <c r="G101" s="513"/>
    </row>
    <row r="102" spans="1:7" ht="21" customHeight="1">
      <c r="A102" s="181"/>
      <c r="B102" s="91" t="s">
        <v>778</v>
      </c>
      <c r="C102" s="87" t="s">
        <v>80</v>
      </c>
      <c r="D102" s="91">
        <v>1.02</v>
      </c>
      <c r="E102" s="86">
        <f>E99*D102</f>
        <v>846.09</v>
      </c>
      <c r="F102" s="518"/>
      <c r="G102" s="513"/>
    </row>
    <row r="103" spans="1:7" ht="18" customHeight="1">
      <c r="A103" s="181"/>
      <c r="B103" s="91" t="s">
        <v>779</v>
      </c>
      <c r="C103" s="87" t="s">
        <v>59</v>
      </c>
      <c r="D103" s="91">
        <f>0.05*1.02</f>
        <v>0.051000000000000004</v>
      </c>
      <c r="E103" s="86">
        <v>0</v>
      </c>
      <c r="F103" s="518"/>
      <c r="G103" s="513"/>
    </row>
    <row r="104" spans="1:7" ht="21" customHeight="1">
      <c r="A104" s="181"/>
      <c r="B104" s="91" t="s">
        <v>780</v>
      </c>
      <c r="C104" s="87" t="s">
        <v>78</v>
      </c>
      <c r="D104" s="91">
        <f>D103*0.232</f>
        <v>0.011832000000000002</v>
      </c>
      <c r="E104" s="86">
        <f>E99*D104</f>
        <v>9.814644000000001</v>
      </c>
      <c r="F104" s="519"/>
      <c r="G104" s="513"/>
    </row>
    <row r="105" spans="1:7" ht="21" customHeight="1">
      <c r="A105" s="181"/>
      <c r="B105" s="91" t="s">
        <v>781</v>
      </c>
      <c r="C105" s="87" t="s">
        <v>59</v>
      </c>
      <c r="D105" s="91">
        <f>D103*1.24</f>
        <v>0.06324</v>
      </c>
      <c r="E105" s="86">
        <f>E99*D105</f>
        <v>52.45758000000001</v>
      </c>
      <c r="F105" s="518"/>
      <c r="G105" s="513"/>
    </row>
    <row r="106" spans="1:7" ht="40.5" customHeight="1">
      <c r="A106" s="350" t="s">
        <v>113</v>
      </c>
      <c r="B106" s="245" t="s">
        <v>450</v>
      </c>
      <c r="C106" s="245" t="s">
        <v>80</v>
      </c>
      <c r="D106" s="245"/>
      <c r="E106" s="351">
        <v>190</v>
      </c>
      <c r="F106" s="510"/>
      <c r="G106" s="511"/>
    </row>
    <row r="107" spans="1:7" ht="25.5" customHeight="1">
      <c r="A107" s="236"/>
      <c r="B107" s="91" t="s">
        <v>451</v>
      </c>
      <c r="C107" s="91" t="s">
        <v>80</v>
      </c>
      <c r="D107" s="91">
        <v>1</v>
      </c>
      <c r="E107" s="116">
        <f>D107*E106</f>
        <v>190</v>
      </c>
      <c r="F107" s="518"/>
      <c r="G107" s="513"/>
    </row>
    <row r="108" spans="1:7" ht="31.5" customHeight="1">
      <c r="A108" s="121"/>
      <c r="B108" s="199" t="s">
        <v>185</v>
      </c>
      <c r="C108" s="91" t="s">
        <v>54</v>
      </c>
      <c r="D108" s="91"/>
      <c r="E108" s="86"/>
      <c r="F108" s="516"/>
      <c r="G108" s="507"/>
    </row>
    <row r="109" spans="1:7" ht="30" customHeight="1">
      <c r="A109" s="121"/>
      <c r="B109" s="91" t="s">
        <v>43</v>
      </c>
      <c r="C109" s="91" t="s">
        <v>54</v>
      </c>
      <c r="D109" s="91"/>
      <c r="E109" s="130">
        <v>0.1</v>
      </c>
      <c r="F109" s="516"/>
      <c r="G109" s="517"/>
    </row>
    <row r="110" spans="1:7" ht="27.75" customHeight="1">
      <c r="A110" s="234"/>
      <c r="B110" s="133" t="s">
        <v>55</v>
      </c>
      <c r="C110" s="133" t="s">
        <v>54</v>
      </c>
      <c r="D110" s="133"/>
      <c r="E110" s="133"/>
      <c r="F110" s="510"/>
      <c r="G110" s="507"/>
    </row>
    <row r="111" spans="1:7" ht="28.5" customHeight="1">
      <c r="A111" s="121"/>
      <c r="B111" s="91" t="s">
        <v>69</v>
      </c>
      <c r="C111" s="91" t="s">
        <v>54</v>
      </c>
      <c r="D111" s="91"/>
      <c r="E111" s="130">
        <v>0.08</v>
      </c>
      <c r="F111" s="516"/>
      <c r="G111" s="517"/>
    </row>
    <row r="112" spans="1:7" ht="28.5" customHeight="1">
      <c r="A112" s="234"/>
      <c r="B112" s="133" t="s">
        <v>60</v>
      </c>
      <c r="C112" s="133" t="s">
        <v>54</v>
      </c>
      <c r="D112" s="133"/>
      <c r="E112" s="235"/>
      <c r="F112" s="510"/>
      <c r="G112" s="507"/>
    </row>
    <row r="113" spans="1:7" ht="15" customHeight="1">
      <c r="A113" s="136"/>
      <c r="B113" s="88"/>
      <c r="C113" s="77"/>
      <c r="D113" s="138"/>
      <c r="E113" s="138"/>
      <c r="F113" s="611"/>
      <c r="G113" s="612"/>
    </row>
    <row r="114" spans="1:7" ht="42" customHeight="1">
      <c r="A114" s="456" t="s">
        <v>886</v>
      </c>
      <c r="B114" s="456"/>
      <c r="C114" s="456"/>
      <c r="D114" s="456"/>
      <c r="E114" s="456"/>
      <c r="F114" s="613"/>
      <c r="G114" s="613"/>
    </row>
    <row r="115" spans="1:7" ht="18.75" customHeight="1">
      <c r="A115" s="448"/>
      <c r="B115" s="446"/>
      <c r="C115" s="446"/>
      <c r="D115" s="446"/>
      <c r="E115" s="446"/>
      <c r="F115" s="614"/>
      <c r="G115" s="614"/>
    </row>
    <row r="116" spans="1:7" ht="18.75" customHeight="1">
      <c r="A116" s="448"/>
      <c r="B116" s="447" t="s">
        <v>935</v>
      </c>
      <c r="C116" s="447"/>
      <c r="D116" s="447"/>
      <c r="E116" s="447"/>
      <c r="F116" s="615"/>
      <c r="G116" s="616">
        <f>'l.r. N1'!G45+'ლ.რ. № 2-1'!G487+'ლ.რ. № 2-2'!G73+'ლ.რ #2-3'!G30+'ლ.რ № 2-4'!G63+'ლ.რ № 2-5'!G103+'ლხ.2-6'!G48+'ლ.ხ.2–7'!G48+'ლხ.2-8'!E19+'ლხ.3'!G95+'ლხ.#4-1'!G161+'ლ.რ. № 4-2'!G89+'ლ.რ. №5'!G57+'ლ.რ #6'!G40+'ლ.რ. №7'!G112</f>
        <v>0</v>
      </c>
    </row>
    <row r="117" spans="1:7" ht="18.75" customHeight="1">
      <c r="A117" s="448"/>
      <c r="B117" s="447" t="s">
        <v>936</v>
      </c>
      <c r="C117" s="447" t="s">
        <v>54</v>
      </c>
      <c r="D117" s="447"/>
      <c r="E117" s="449">
        <v>0.03</v>
      </c>
      <c r="F117" s="615"/>
      <c r="G117" s="617">
        <f>G116*3%</f>
        <v>0</v>
      </c>
    </row>
    <row r="118" spans="1:7" ht="18.75" customHeight="1">
      <c r="A118" s="448"/>
      <c r="B118" s="447" t="s">
        <v>597</v>
      </c>
      <c r="C118" s="447"/>
      <c r="D118" s="447"/>
      <c r="E118" s="447"/>
      <c r="F118" s="615"/>
      <c r="G118" s="616">
        <f>G116+G117</f>
        <v>0</v>
      </c>
    </row>
    <row r="119" spans="1:7" ht="18.75" customHeight="1">
      <c r="A119" s="448"/>
      <c r="B119" s="447" t="s">
        <v>937</v>
      </c>
      <c r="C119" s="447"/>
      <c r="D119" s="447"/>
      <c r="E119" s="449">
        <v>0.18</v>
      </c>
      <c r="F119" s="615"/>
      <c r="G119" s="617">
        <f>G118*18%</f>
        <v>0</v>
      </c>
    </row>
    <row r="120" spans="1:7" ht="18.75" customHeight="1">
      <c r="A120" s="448"/>
      <c r="B120" s="447" t="s">
        <v>938</v>
      </c>
      <c r="C120" s="447"/>
      <c r="D120" s="447"/>
      <c r="E120" s="447"/>
      <c r="F120" s="615"/>
      <c r="G120" s="616">
        <f>G118+G119</f>
        <v>0</v>
      </c>
    </row>
    <row r="121" spans="1:7" ht="15.75">
      <c r="A121" s="136"/>
      <c r="B121" s="88"/>
      <c r="C121" s="450"/>
      <c r="D121" s="138"/>
      <c r="E121" s="138"/>
      <c r="F121" s="138"/>
      <c r="G121" s="451"/>
    </row>
    <row r="122" spans="1:7" ht="16.5">
      <c r="A122" s="136"/>
      <c r="B122" s="452" t="s">
        <v>939</v>
      </c>
      <c r="C122" s="453"/>
      <c r="D122" s="454"/>
      <c r="E122" s="454"/>
      <c r="F122" s="454"/>
      <c r="G122" s="455"/>
    </row>
    <row r="123" spans="1:7" ht="16.5">
      <c r="A123" s="136"/>
      <c r="B123" s="452"/>
      <c r="C123" s="453"/>
      <c r="D123" s="454"/>
      <c r="E123" s="454"/>
      <c r="F123" s="454"/>
      <c r="G123" s="455"/>
    </row>
    <row r="124" spans="1:7" ht="16.5">
      <c r="A124" s="136"/>
      <c r="B124" s="452"/>
      <c r="C124" s="453"/>
      <c r="D124" s="454"/>
      <c r="E124" s="454"/>
      <c r="F124" s="454"/>
      <c r="G124" s="455"/>
    </row>
    <row r="125" spans="1:7" ht="46.5" customHeight="1">
      <c r="A125" s="139"/>
      <c r="B125" s="505" t="s">
        <v>940</v>
      </c>
      <c r="C125" s="505"/>
      <c r="D125" s="505"/>
      <c r="E125" s="505"/>
      <c r="F125" s="505"/>
      <c r="G125" s="505"/>
    </row>
    <row r="126" spans="1:7" ht="15.75">
      <c r="A126" s="143"/>
      <c r="B126" s="140"/>
      <c r="C126" s="140"/>
      <c r="D126" s="140"/>
      <c r="E126" s="140"/>
      <c r="F126" s="140"/>
      <c r="G126" s="142"/>
    </row>
    <row r="127" spans="1:7" ht="15.75">
      <c r="A127" s="143"/>
      <c r="B127" s="77"/>
      <c r="C127" s="77"/>
      <c r="D127" s="77"/>
      <c r="E127" s="77"/>
      <c r="F127" s="77"/>
      <c r="G127" s="94"/>
    </row>
    <row r="128" spans="1:7" ht="15.75">
      <c r="A128" s="143"/>
      <c r="B128" s="77"/>
      <c r="C128" s="77"/>
      <c r="D128" s="77"/>
      <c r="E128" s="77"/>
      <c r="F128" s="77"/>
      <c r="G128" s="94"/>
    </row>
    <row r="129" spans="1:7" ht="15.75">
      <c r="A129" s="143"/>
      <c r="B129" s="77"/>
      <c r="C129" s="77"/>
      <c r="D129" s="77"/>
      <c r="E129" s="77"/>
      <c r="F129" s="77"/>
      <c r="G129" s="94"/>
    </row>
    <row r="130" spans="1:7" ht="15.75">
      <c r="A130" s="143"/>
      <c r="B130" s="77"/>
      <c r="C130" s="77"/>
      <c r="D130" s="77"/>
      <c r="E130" s="77"/>
      <c r="F130" s="77"/>
      <c r="G130" s="94"/>
    </row>
    <row r="131" spans="1:7" ht="15.75">
      <c r="A131" s="143"/>
      <c r="B131" s="77"/>
      <c r="C131" s="77"/>
      <c r="D131" s="77"/>
      <c r="E131" s="77"/>
      <c r="F131" s="77"/>
      <c r="G131" s="94"/>
    </row>
    <row r="132" spans="1:7" ht="15.75">
      <c r="A132" s="143"/>
      <c r="B132" s="77"/>
      <c r="C132" s="77"/>
      <c r="D132" s="77"/>
      <c r="E132" s="77"/>
      <c r="F132" s="77"/>
      <c r="G132" s="94"/>
    </row>
    <row r="133" spans="1:7" ht="15.75">
      <c r="A133" s="143"/>
      <c r="B133" s="77"/>
      <c r="C133" s="77"/>
      <c r="D133" s="77"/>
      <c r="E133" s="77"/>
      <c r="F133" s="77"/>
      <c r="G133" s="94"/>
    </row>
    <row r="134" spans="1:7" ht="15.75">
      <c r="A134" s="143"/>
      <c r="B134" s="77"/>
      <c r="C134" s="77"/>
      <c r="D134" s="77"/>
      <c r="E134" s="77"/>
      <c r="F134" s="77"/>
      <c r="G134" s="94"/>
    </row>
    <row r="135" spans="1:7" ht="15.75">
      <c r="A135" s="143"/>
      <c r="B135" s="77"/>
      <c r="C135" s="77"/>
      <c r="D135" s="77"/>
      <c r="E135" s="77"/>
      <c r="F135" s="77"/>
      <c r="G135" s="94"/>
    </row>
    <row r="136" spans="1:7" ht="15.75">
      <c r="A136" s="143"/>
      <c r="B136" s="77"/>
      <c r="C136" s="77"/>
      <c r="D136" s="77"/>
      <c r="E136" s="77"/>
      <c r="F136" s="77"/>
      <c r="G136" s="94"/>
    </row>
    <row r="137" spans="1:7" ht="15.75">
      <c r="A137" s="143"/>
      <c r="B137" s="77"/>
      <c r="C137" s="77"/>
      <c r="D137" s="77"/>
      <c r="E137" s="77"/>
      <c r="F137" s="77"/>
      <c r="G137" s="94"/>
    </row>
    <row r="138" spans="1:7" ht="15.75">
      <c r="A138" s="143"/>
      <c r="B138" s="77"/>
      <c r="C138" s="77"/>
      <c r="D138" s="77"/>
      <c r="E138" s="77"/>
      <c r="F138" s="77"/>
      <c r="G138" s="94"/>
    </row>
    <row r="139" spans="1:7" ht="15.75">
      <c r="A139" s="143"/>
      <c r="B139" s="77"/>
      <c r="C139" s="77"/>
      <c r="D139" s="77"/>
      <c r="E139" s="77"/>
      <c r="F139" s="77"/>
      <c r="G139" s="94"/>
    </row>
    <row r="140" spans="1:7" ht="15.75">
      <c r="A140" s="143"/>
      <c r="B140" s="77"/>
      <c r="C140" s="77"/>
      <c r="D140" s="77"/>
      <c r="E140" s="77"/>
      <c r="F140" s="77"/>
      <c r="G140" s="94"/>
    </row>
    <row r="141" spans="1:7" ht="15.75">
      <c r="A141" s="143"/>
      <c r="B141" s="77"/>
      <c r="C141" s="77"/>
      <c r="D141" s="77"/>
      <c r="E141" s="77"/>
      <c r="F141" s="77"/>
      <c r="G141" s="94"/>
    </row>
    <row r="142" spans="1:7" ht="15.75">
      <c r="A142" s="143"/>
      <c r="B142" s="77"/>
      <c r="C142" s="77"/>
      <c r="D142" s="77"/>
      <c r="E142" s="77"/>
      <c r="F142" s="77"/>
      <c r="G142" s="94"/>
    </row>
    <row r="143" spans="1:7" ht="15.75">
      <c r="A143" s="143"/>
      <c r="B143" s="77"/>
      <c r="C143" s="77"/>
      <c r="D143" s="77"/>
      <c r="E143" s="77"/>
      <c r="F143" s="77"/>
      <c r="G143" s="94"/>
    </row>
    <row r="144" spans="1:7" ht="15.75">
      <c r="A144" s="143"/>
      <c r="B144" s="77"/>
      <c r="C144" s="77"/>
      <c r="D144" s="77"/>
      <c r="E144" s="77"/>
      <c r="F144" s="77"/>
      <c r="G144" s="94"/>
    </row>
    <row r="145" spans="1:7" ht="15.75">
      <c r="A145" s="143"/>
      <c r="B145" s="77"/>
      <c r="C145" s="77"/>
      <c r="D145" s="77"/>
      <c r="E145" s="77"/>
      <c r="F145" s="77"/>
      <c r="G145" s="94"/>
    </row>
    <row r="146" spans="1:7" ht="15.75">
      <c r="A146" s="143"/>
      <c r="B146" s="77"/>
      <c r="C146" s="77"/>
      <c r="D146" s="77"/>
      <c r="E146" s="77"/>
      <c r="F146" s="77"/>
      <c r="G146" s="94"/>
    </row>
    <row r="147" spans="1:7" ht="15.75">
      <c r="A147" s="143"/>
      <c r="B147" s="77"/>
      <c r="C147" s="77"/>
      <c r="D147" s="77"/>
      <c r="E147" s="77"/>
      <c r="F147" s="77"/>
      <c r="G147" s="94"/>
    </row>
    <row r="148" spans="1:7" ht="15.75">
      <c r="A148" s="143"/>
      <c r="B148" s="77"/>
      <c r="C148" s="77"/>
      <c r="D148" s="77"/>
      <c r="E148" s="77"/>
      <c r="F148" s="77"/>
      <c r="G148" s="94"/>
    </row>
    <row r="149" spans="1:7" ht="15.75">
      <c r="A149" s="143"/>
      <c r="B149" s="77"/>
      <c r="C149" s="77"/>
      <c r="D149" s="77"/>
      <c r="E149" s="77"/>
      <c r="F149" s="77"/>
      <c r="G149" s="94"/>
    </row>
    <row r="150" spans="1:7" ht="15.75">
      <c r="A150" s="143"/>
      <c r="B150" s="77"/>
      <c r="C150" s="77"/>
      <c r="D150" s="77"/>
      <c r="E150" s="77"/>
      <c r="F150" s="77"/>
      <c r="G150" s="94"/>
    </row>
    <row r="151" spans="1:7" ht="15.75">
      <c r="A151" s="143"/>
      <c r="B151" s="77"/>
      <c r="C151" s="77"/>
      <c r="D151" s="77"/>
      <c r="E151" s="77"/>
      <c r="F151" s="77"/>
      <c r="G151" s="94"/>
    </row>
    <row r="152" spans="1:7" ht="15.75">
      <c r="A152" s="143"/>
      <c r="B152" s="77"/>
      <c r="C152" s="77"/>
      <c r="D152" s="77"/>
      <c r="E152" s="77"/>
      <c r="F152" s="77"/>
      <c r="G152" s="94"/>
    </row>
    <row r="153" spans="1:7" ht="15.75">
      <c r="A153" s="143"/>
      <c r="B153" s="77"/>
      <c r="C153" s="77"/>
      <c r="D153" s="77"/>
      <c r="E153" s="77"/>
      <c r="F153" s="77"/>
      <c r="G153" s="94"/>
    </row>
    <row r="154" spans="1:7" ht="15.75">
      <c r="A154" s="143"/>
      <c r="B154" s="77"/>
      <c r="C154" s="77"/>
      <c r="D154" s="77"/>
      <c r="E154" s="77"/>
      <c r="F154" s="77"/>
      <c r="G154" s="94"/>
    </row>
    <row r="155" spans="1:7" ht="15.75">
      <c r="A155" s="143"/>
      <c r="B155" s="77"/>
      <c r="C155" s="77"/>
      <c r="D155" s="77"/>
      <c r="E155" s="77"/>
      <c r="F155" s="77"/>
      <c r="G155" s="94"/>
    </row>
    <row r="156" spans="1:7" ht="15.75">
      <c r="A156" s="143"/>
      <c r="B156" s="77"/>
      <c r="C156" s="77"/>
      <c r="D156" s="77"/>
      <c r="E156" s="77"/>
      <c r="F156" s="77"/>
      <c r="G156" s="94"/>
    </row>
    <row r="157" spans="1:7" ht="15.75">
      <c r="A157" s="143"/>
      <c r="B157" s="77"/>
      <c r="C157" s="77"/>
      <c r="D157" s="77"/>
      <c r="E157" s="77"/>
      <c r="F157" s="77"/>
      <c r="G157" s="94"/>
    </row>
    <row r="158" spans="1:7" ht="15.75">
      <c r="A158" s="143"/>
      <c r="B158" s="77"/>
      <c r="C158" s="77"/>
      <c r="D158" s="77"/>
      <c r="E158" s="77"/>
      <c r="F158" s="77"/>
      <c r="G158" s="94"/>
    </row>
    <row r="159" spans="1:7" ht="15.75">
      <c r="A159" s="143"/>
      <c r="B159" s="77"/>
      <c r="C159" s="77"/>
      <c r="D159" s="77"/>
      <c r="E159" s="77"/>
      <c r="F159" s="77"/>
      <c r="G159" s="94"/>
    </row>
    <row r="160" spans="1:7" ht="15.75">
      <c r="A160" s="143"/>
      <c r="B160" s="77"/>
      <c r="C160" s="77"/>
      <c r="D160" s="77"/>
      <c r="E160" s="77"/>
      <c r="F160" s="77"/>
      <c r="G160" s="94"/>
    </row>
    <row r="161" spans="1:7" ht="15.75">
      <c r="A161" s="143"/>
      <c r="B161" s="77"/>
      <c r="C161" s="77"/>
      <c r="D161" s="77"/>
      <c r="E161" s="77"/>
      <c r="F161" s="77"/>
      <c r="G161" s="94"/>
    </row>
  </sheetData>
  <sheetProtection password="CF2D" sheet="1"/>
  <mergeCells count="10">
    <mergeCell ref="A1:G1"/>
    <mergeCell ref="A2:G2"/>
    <mergeCell ref="A3:G3"/>
    <mergeCell ref="A4:A5"/>
    <mergeCell ref="B4:B5"/>
    <mergeCell ref="C4:C5"/>
    <mergeCell ref="D4:E4"/>
    <mergeCell ref="A114:E114"/>
    <mergeCell ref="B125:G125"/>
    <mergeCell ref="F4:G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Z499"/>
  <sheetViews>
    <sheetView zoomScalePageLayoutView="0" workbookViewId="0" topLeftCell="A1">
      <selection activeCell="F8" sqref="F8:G487"/>
    </sheetView>
  </sheetViews>
  <sheetFormatPr defaultColWidth="9.140625" defaultRowHeight="12.75"/>
  <cols>
    <col min="1" max="1" width="4.140625" style="13" customWidth="1"/>
    <col min="2" max="2" width="45.140625" style="1" customWidth="1"/>
    <col min="3" max="3" width="6.7109375" style="1" customWidth="1"/>
    <col min="4" max="4" width="7.7109375" style="1" customWidth="1"/>
    <col min="5" max="5" width="8.8515625" style="1" customWidth="1"/>
    <col min="6" max="6" width="8.421875" style="1" customWidth="1"/>
    <col min="7" max="7" width="11.28125" style="11" customWidth="1"/>
    <col min="8" max="8" width="10.28125" style="11" hidden="1" customWidth="1"/>
    <col min="9" max="9" width="9.00390625" style="11" hidden="1" customWidth="1"/>
    <col min="10" max="10" width="7.57421875" style="3" hidden="1" customWidth="1"/>
    <col min="11" max="13" width="9.140625" style="3" hidden="1" customWidth="1"/>
    <col min="14" max="15" width="9.140625" style="1" hidden="1" customWidth="1"/>
    <col min="16" max="16384" width="9.140625" style="1" customWidth="1"/>
  </cols>
  <sheetData>
    <row r="1" spans="1:9" ht="45" customHeight="1">
      <c r="A1" s="469" t="s">
        <v>824</v>
      </c>
      <c r="B1" s="470"/>
      <c r="C1" s="470"/>
      <c r="D1" s="470"/>
      <c r="E1" s="470"/>
      <c r="F1" s="470"/>
      <c r="G1" s="470"/>
      <c r="H1" s="45"/>
      <c r="I1" s="3"/>
    </row>
    <row r="2" spans="1:9" ht="18" customHeight="1">
      <c r="A2" s="471" t="s">
        <v>274</v>
      </c>
      <c r="B2" s="471"/>
      <c r="C2" s="471"/>
      <c r="D2" s="471"/>
      <c r="E2" s="471"/>
      <c r="F2" s="471"/>
      <c r="G2" s="471"/>
      <c r="H2" s="23"/>
      <c r="I2" s="3"/>
    </row>
    <row r="3" spans="1:9" ht="18" customHeight="1">
      <c r="A3" s="471" t="s">
        <v>236</v>
      </c>
      <c r="B3" s="471"/>
      <c r="C3" s="471"/>
      <c r="D3" s="471"/>
      <c r="E3" s="471"/>
      <c r="F3" s="471"/>
      <c r="G3" s="471"/>
      <c r="H3" s="23"/>
      <c r="I3" s="3"/>
    </row>
    <row r="4" spans="1:9" ht="18" customHeight="1">
      <c r="A4" s="471" t="s">
        <v>57</v>
      </c>
      <c r="B4" s="471"/>
      <c r="C4" s="471"/>
      <c r="D4" s="471"/>
      <c r="E4" s="471"/>
      <c r="F4" s="471"/>
      <c r="G4" s="471"/>
      <c r="H4" s="23"/>
      <c r="I4" s="3"/>
    </row>
    <row r="5" spans="1:10" ht="22.5" customHeight="1">
      <c r="A5" s="461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  <c r="H5" s="15"/>
      <c r="I5" s="10"/>
      <c r="J5" s="10"/>
    </row>
    <row r="6" spans="1:13" ht="54.75" customHeight="1">
      <c r="A6" s="461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  <c r="H6" s="12"/>
      <c r="I6" s="12"/>
      <c r="J6" s="10"/>
      <c r="M6" s="3" t="s">
        <v>317</v>
      </c>
    </row>
    <row r="7" spans="1:13" s="5" customFormat="1" ht="14.25" customHeight="1">
      <c r="A7" s="198" t="s">
        <v>51</v>
      </c>
      <c r="B7" s="248">
        <v>3</v>
      </c>
      <c r="C7" s="248">
        <v>4</v>
      </c>
      <c r="D7" s="248">
        <v>5</v>
      </c>
      <c r="E7" s="248">
        <v>6</v>
      </c>
      <c r="F7" s="248">
        <v>7</v>
      </c>
      <c r="G7" s="234">
        <v>8</v>
      </c>
      <c r="H7" s="9"/>
      <c r="I7" s="9"/>
      <c r="J7" s="14"/>
      <c r="K7" s="6"/>
      <c r="L7" s="6"/>
      <c r="M7" s="6"/>
    </row>
    <row r="8" spans="1:10" s="5" customFormat="1" ht="49.5" customHeight="1">
      <c r="A8" s="198" t="s">
        <v>51</v>
      </c>
      <c r="B8" s="133" t="s">
        <v>839</v>
      </c>
      <c r="C8" s="133" t="s">
        <v>59</v>
      </c>
      <c r="D8" s="133"/>
      <c r="E8" s="349">
        <v>720</v>
      </c>
      <c r="F8" s="510"/>
      <c r="G8" s="511"/>
      <c r="H8" s="55">
        <f>G8/E8</f>
        <v>0</v>
      </c>
      <c r="I8" s="27">
        <f aca="true" t="shared" si="0" ref="I8:I14">G8</f>
        <v>0</v>
      </c>
      <c r="J8" s="9"/>
    </row>
    <row r="9" spans="1:11" s="72" customFormat="1" ht="21.75" customHeight="1">
      <c r="A9" s="181"/>
      <c r="B9" s="102" t="s">
        <v>469</v>
      </c>
      <c r="C9" s="102" t="s">
        <v>44</v>
      </c>
      <c r="D9" s="102">
        <v>0.0189</v>
      </c>
      <c r="E9" s="103">
        <f>E8*D9</f>
        <v>13.608</v>
      </c>
      <c r="F9" s="518"/>
      <c r="G9" s="513"/>
      <c r="H9" s="62"/>
      <c r="I9" s="27">
        <f t="shared" si="0"/>
        <v>0</v>
      </c>
      <c r="J9" s="7">
        <f>G9</f>
        <v>0</v>
      </c>
      <c r="K9" s="8"/>
    </row>
    <row r="10" spans="1:11" s="72" customFormat="1" ht="22.5" customHeight="1">
      <c r="A10" s="181"/>
      <c r="B10" s="102" t="s">
        <v>466</v>
      </c>
      <c r="C10" s="87" t="s">
        <v>62</v>
      </c>
      <c r="D10" s="102">
        <v>0.037</v>
      </c>
      <c r="E10" s="103">
        <f>E8*D10</f>
        <v>26.639999999999997</v>
      </c>
      <c r="F10" s="518"/>
      <c r="G10" s="513"/>
      <c r="H10" s="62"/>
      <c r="I10" s="27">
        <f t="shared" si="0"/>
        <v>0</v>
      </c>
      <c r="J10" s="9"/>
      <c r="K10" s="8"/>
    </row>
    <row r="11" spans="1:11" s="4" customFormat="1" ht="20.25" customHeight="1">
      <c r="A11" s="181"/>
      <c r="B11" s="91" t="s">
        <v>467</v>
      </c>
      <c r="C11" s="87" t="s">
        <v>62</v>
      </c>
      <c r="D11" s="102">
        <v>0.0032</v>
      </c>
      <c r="E11" s="103">
        <f>E8*D11</f>
        <v>2.3040000000000003</v>
      </c>
      <c r="F11" s="518"/>
      <c r="G11" s="509"/>
      <c r="H11" s="29"/>
      <c r="I11" s="27">
        <f t="shared" si="0"/>
        <v>0</v>
      </c>
      <c r="J11" s="9"/>
      <c r="K11" s="57"/>
    </row>
    <row r="12" spans="1:10" s="4" customFormat="1" ht="24" customHeight="1">
      <c r="A12" s="181"/>
      <c r="B12" s="91" t="s">
        <v>468</v>
      </c>
      <c r="C12" s="87" t="s">
        <v>62</v>
      </c>
      <c r="D12" s="91">
        <v>0.0008</v>
      </c>
      <c r="E12" s="86">
        <f>D12*E8</f>
        <v>0.5760000000000001</v>
      </c>
      <c r="F12" s="518"/>
      <c r="G12" s="513"/>
      <c r="H12" s="62"/>
      <c r="I12" s="27">
        <f t="shared" si="0"/>
        <v>0</v>
      </c>
      <c r="J12" s="9"/>
    </row>
    <row r="13" spans="1:16" s="4" customFormat="1" ht="47.25" customHeight="1">
      <c r="A13" s="234">
        <v>2</v>
      </c>
      <c r="B13" s="133" t="s">
        <v>838</v>
      </c>
      <c r="C13" s="133" t="s">
        <v>59</v>
      </c>
      <c r="D13" s="358"/>
      <c r="E13" s="242">
        <v>60</v>
      </c>
      <c r="F13" s="510"/>
      <c r="G13" s="511"/>
      <c r="H13" s="55">
        <f>G13/E13</f>
        <v>0</v>
      </c>
      <c r="I13" s="27">
        <f t="shared" si="0"/>
        <v>0</v>
      </c>
      <c r="J13" s="5"/>
      <c r="K13" s="5"/>
      <c r="L13" s="5"/>
      <c r="M13" s="5"/>
      <c r="N13" s="5"/>
      <c r="O13" s="5"/>
      <c r="P13" s="5"/>
    </row>
    <row r="14" spans="1:16" s="5" customFormat="1" ht="23.25" customHeight="1">
      <c r="A14" s="181"/>
      <c r="B14" s="91" t="s">
        <v>66</v>
      </c>
      <c r="C14" s="91" t="s">
        <v>44</v>
      </c>
      <c r="D14" s="91">
        <f>1.15*2.06</f>
        <v>2.3689999999999998</v>
      </c>
      <c r="E14" s="86">
        <f>E13*D14</f>
        <v>142.14</v>
      </c>
      <c r="F14" s="518"/>
      <c r="G14" s="513"/>
      <c r="H14" s="8"/>
      <c r="I14" s="27">
        <f t="shared" si="0"/>
        <v>0</v>
      </c>
      <c r="J14" s="7">
        <f>G14</f>
        <v>0</v>
      </c>
      <c r="K14" s="4"/>
      <c r="L14" s="4"/>
      <c r="M14" s="4"/>
      <c r="N14" s="4"/>
      <c r="O14" s="4"/>
      <c r="P14" s="4"/>
    </row>
    <row r="15" spans="1:10" s="3" customFormat="1" ht="39" customHeight="1">
      <c r="A15" s="198" t="s">
        <v>112</v>
      </c>
      <c r="B15" s="133" t="s">
        <v>811</v>
      </c>
      <c r="C15" s="133" t="s">
        <v>59</v>
      </c>
      <c r="D15" s="133"/>
      <c r="E15" s="243">
        <v>76.35</v>
      </c>
      <c r="F15" s="510"/>
      <c r="G15" s="511"/>
      <c r="H15" s="11"/>
      <c r="I15" s="27">
        <f aca="true" t="shared" si="1" ref="I15:I21">G20</f>
        <v>0</v>
      </c>
      <c r="J15" s="2"/>
    </row>
    <row r="16" spans="1:10" s="3" customFormat="1" ht="21.75" customHeight="1">
      <c r="A16" s="181"/>
      <c r="B16" s="91" t="s">
        <v>31</v>
      </c>
      <c r="C16" s="91" t="s">
        <v>44</v>
      </c>
      <c r="D16" s="91">
        <f>1.15*6.66</f>
        <v>7.659</v>
      </c>
      <c r="E16" s="86">
        <f>D16*E15</f>
        <v>584.76465</v>
      </c>
      <c r="F16" s="519"/>
      <c r="G16" s="513"/>
      <c r="H16" s="11"/>
      <c r="I16" s="27">
        <f t="shared" si="1"/>
        <v>0</v>
      </c>
      <c r="J16" s="2"/>
    </row>
    <row r="17" spans="1:10" s="3" customFormat="1" ht="21.75" customHeight="1">
      <c r="A17" s="181"/>
      <c r="B17" s="91" t="s">
        <v>32</v>
      </c>
      <c r="C17" s="91" t="s">
        <v>54</v>
      </c>
      <c r="D17" s="91">
        <f>1.15*0.59</f>
        <v>0.6784999999999999</v>
      </c>
      <c r="E17" s="86">
        <f>E15*D17</f>
        <v>51.803474999999985</v>
      </c>
      <c r="F17" s="518"/>
      <c r="G17" s="513"/>
      <c r="H17" s="11"/>
      <c r="I17" s="27">
        <f t="shared" si="1"/>
        <v>0</v>
      </c>
      <c r="J17" s="2"/>
    </row>
    <row r="18" spans="1:16" s="3" customFormat="1" ht="18" customHeight="1">
      <c r="A18" s="181"/>
      <c r="B18" s="91" t="s">
        <v>325</v>
      </c>
      <c r="C18" s="91" t="s">
        <v>52</v>
      </c>
      <c r="D18" s="91">
        <v>1.015</v>
      </c>
      <c r="E18" s="86">
        <f>E15*D18</f>
        <v>77.49524999999998</v>
      </c>
      <c r="F18" s="518"/>
      <c r="G18" s="509"/>
      <c r="H18" s="55">
        <f>G23/E23</f>
        <v>0</v>
      </c>
      <c r="I18" s="27">
        <f t="shared" si="1"/>
        <v>0</v>
      </c>
      <c r="J18" s="63"/>
      <c r="K18" s="15"/>
      <c r="L18" s="15"/>
      <c r="M18" s="15"/>
      <c r="N18" s="15"/>
      <c r="O18" s="15"/>
      <c r="P18" s="15"/>
    </row>
    <row r="19" spans="1:52" s="4" customFormat="1" ht="24.75" customHeight="1">
      <c r="A19" s="181"/>
      <c r="B19" s="91" t="s">
        <v>812</v>
      </c>
      <c r="C19" s="91" t="s">
        <v>52</v>
      </c>
      <c r="D19" s="91">
        <v>1.015</v>
      </c>
      <c r="E19" s="86">
        <f>D19*E15</f>
        <v>77.49524999999998</v>
      </c>
      <c r="F19" s="518"/>
      <c r="G19" s="513"/>
      <c r="H19" s="62"/>
      <c r="I19" s="27">
        <f t="shared" si="1"/>
        <v>0</v>
      </c>
      <c r="J19" s="63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2"/>
      <c r="AT19" s="2"/>
      <c r="AU19" s="2"/>
      <c r="AV19" s="2"/>
      <c r="AW19" s="2"/>
      <c r="AX19" s="2"/>
      <c r="AY19" s="2"/>
      <c r="AZ19" s="2"/>
    </row>
    <row r="20" spans="1:52" s="4" customFormat="1" ht="18.75" customHeight="1">
      <c r="A20" s="181"/>
      <c r="B20" s="91" t="s">
        <v>307</v>
      </c>
      <c r="C20" s="91" t="s">
        <v>80</v>
      </c>
      <c r="D20" s="91">
        <v>1.6</v>
      </c>
      <c r="E20" s="86">
        <f>E15*D20</f>
        <v>122.16</v>
      </c>
      <c r="F20" s="518"/>
      <c r="G20" s="513"/>
      <c r="H20" s="62"/>
      <c r="I20" s="27">
        <f t="shared" si="1"/>
        <v>0</v>
      </c>
      <c r="J20" s="6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2"/>
      <c r="AT20" s="2"/>
      <c r="AU20" s="2"/>
      <c r="AV20" s="2"/>
      <c r="AW20" s="2"/>
      <c r="AX20" s="2"/>
      <c r="AY20" s="2"/>
      <c r="AZ20" s="2"/>
    </row>
    <row r="21" spans="1:52" s="4" customFormat="1" ht="20.25" customHeight="1">
      <c r="A21" s="181"/>
      <c r="B21" s="91" t="s">
        <v>345</v>
      </c>
      <c r="C21" s="91" t="s">
        <v>52</v>
      </c>
      <c r="D21" s="91">
        <v>0.0183</v>
      </c>
      <c r="E21" s="86">
        <f>E15*D21</f>
        <v>1.3972049999999998</v>
      </c>
      <c r="F21" s="518"/>
      <c r="G21" s="513"/>
      <c r="H21" s="62"/>
      <c r="I21" s="27">
        <f t="shared" si="1"/>
        <v>0</v>
      </c>
      <c r="J21" s="63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2"/>
      <c r="AT21" s="2"/>
      <c r="AU21" s="2"/>
      <c r="AV21" s="2"/>
      <c r="AW21" s="2"/>
      <c r="AX21" s="2"/>
      <c r="AY21" s="2"/>
      <c r="AZ21" s="2"/>
    </row>
    <row r="22" spans="1:52" s="4" customFormat="1" ht="21.75" customHeight="1">
      <c r="A22" s="181"/>
      <c r="B22" s="102" t="s">
        <v>63</v>
      </c>
      <c r="C22" s="91" t="s">
        <v>54</v>
      </c>
      <c r="D22" s="91">
        <v>0.4</v>
      </c>
      <c r="E22" s="86">
        <f>D22*E15</f>
        <v>30.54</v>
      </c>
      <c r="F22" s="518"/>
      <c r="G22" s="513"/>
      <c r="H22" s="55" t="e">
        <f>#REF!/#REF!</f>
        <v>#REF!</v>
      </c>
      <c r="I22" s="27" t="e">
        <f>#REF!</f>
        <v>#REF!</v>
      </c>
      <c r="J22" s="2"/>
      <c r="K22" s="2"/>
      <c r="L22" s="6"/>
      <c r="M22" s="2"/>
      <c r="N22" s="2"/>
      <c r="O22" s="2"/>
      <c r="P22" s="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"/>
      <c r="AT22" s="2"/>
      <c r="AU22" s="2"/>
      <c r="AV22" s="2"/>
      <c r="AW22" s="2"/>
      <c r="AX22" s="2"/>
      <c r="AY22" s="2"/>
      <c r="AZ22" s="2"/>
    </row>
    <row r="23" spans="1:12" s="2" customFormat="1" ht="27" customHeight="1">
      <c r="A23" s="234">
        <v>4</v>
      </c>
      <c r="B23" s="133" t="s">
        <v>725</v>
      </c>
      <c r="C23" s="133" t="s">
        <v>78</v>
      </c>
      <c r="D23" s="133"/>
      <c r="E23" s="401">
        <v>4.407</v>
      </c>
      <c r="F23" s="510"/>
      <c r="G23" s="511"/>
      <c r="H23" s="62"/>
      <c r="I23" s="27" t="e">
        <f>#REF!</f>
        <v>#REF!</v>
      </c>
      <c r="J23" s="8" t="e">
        <f>#REF!</f>
        <v>#REF!</v>
      </c>
      <c r="L23" s="6"/>
    </row>
    <row r="24" spans="1:12" s="2" customFormat="1" ht="20.25" customHeight="1">
      <c r="A24" s="104"/>
      <c r="B24" s="91" t="s">
        <v>88</v>
      </c>
      <c r="C24" s="91" t="s">
        <v>78</v>
      </c>
      <c r="D24" s="91">
        <v>1.01</v>
      </c>
      <c r="E24" s="114">
        <f>E23*D24</f>
        <v>4.45107</v>
      </c>
      <c r="F24" s="518"/>
      <c r="G24" s="513"/>
      <c r="H24" s="62"/>
      <c r="I24" s="27" t="e">
        <f>#REF!</f>
        <v>#REF!</v>
      </c>
      <c r="L24" s="6"/>
    </row>
    <row r="25" spans="1:16" s="2" customFormat="1" ht="21" customHeight="1">
      <c r="A25" s="104"/>
      <c r="B25" s="91" t="s">
        <v>278</v>
      </c>
      <c r="C25" s="91" t="s">
        <v>53</v>
      </c>
      <c r="D25" s="91">
        <v>3</v>
      </c>
      <c r="E25" s="114">
        <f>E23*D25</f>
        <v>13.221</v>
      </c>
      <c r="F25" s="518"/>
      <c r="G25" s="513"/>
      <c r="H25" s="73"/>
      <c r="I25" s="27" t="e">
        <f>#REF!</f>
        <v>#REF!</v>
      </c>
      <c r="J25" s="63"/>
      <c r="K25" s="15"/>
      <c r="L25" s="15"/>
      <c r="M25" s="15"/>
      <c r="N25" s="15"/>
      <c r="O25" s="15"/>
      <c r="P25" s="15"/>
    </row>
    <row r="26" spans="1:44" s="2" customFormat="1" ht="21" customHeight="1">
      <c r="A26" s="104"/>
      <c r="B26" s="91" t="s">
        <v>89</v>
      </c>
      <c r="C26" s="91" t="s">
        <v>53</v>
      </c>
      <c r="D26" s="91">
        <v>4</v>
      </c>
      <c r="E26" s="114">
        <f>E23*D26</f>
        <v>17.628</v>
      </c>
      <c r="F26" s="518"/>
      <c r="G26" s="513"/>
      <c r="H26" s="62"/>
      <c r="I26" s="27" t="e">
        <f>#REF!</f>
        <v>#REF!</v>
      </c>
      <c r="L26" s="6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12" s="2" customFormat="1" ht="42.75" customHeight="1">
      <c r="A27" s="198" t="s">
        <v>71</v>
      </c>
      <c r="B27" s="133" t="s">
        <v>813</v>
      </c>
      <c r="C27" s="133" t="s">
        <v>52</v>
      </c>
      <c r="D27" s="133"/>
      <c r="E27" s="243">
        <v>58.6</v>
      </c>
      <c r="F27" s="510"/>
      <c r="G27" s="507"/>
      <c r="H27" s="62"/>
      <c r="I27" s="27" t="e">
        <f>#REF!</f>
        <v>#REF!</v>
      </c>
      <c r="L27" s="6"/>
    </row>
    <row r="28" spans="1:12" s="2" customFormat="1" ht="20.25" customHeight="1">
      <c r="A28" s="181"/>
      <c r="B28" s="102" t="s">
        <v>33</v>
      </c>
      <c r="C28" s="102" t="s">
        <v>44</v>
      </c>
      <c r="D28" s="91">
        <f>1.15*14.7</f>
        <v>16.904999999999998</v>
      </c>
      <c r="E28" s="116">
        <f>D28*E27</f>
        <v>990.6329999999999</v>
      </c>
      <c r="F28" s="518"/>
      <c r="G28" s="509"/>
      <c r="H28" s="62"/>
      <c r="I28" s="27" t="e">
        <f>#REF!</f>
        <v>#REF!</v>
      </c>
      <c r="L28" s="6"/>
    </row>
    <row r="29" spans="1:12" s="2" customFormat="1" ht="23.25" customHeight="1">
      <c r="A29" s="181"/>
      <c r="B29" s="91" t="s">
        <v>34</v>
      </c>
      <c r="C29" s="91" t="s">
        <v>54</v>
      </c>
      <c r="D29" s="91">
        <f>1.15*1.21</f>
        <v>1.3915</v>
      </c>
      <c r="E29" s="86">
        <f>D29*E27</f>
        <v>81.5419</v>
      </c>
      <c r="F29" s="518"/>
      <c r="G29" s="509"/>
      <c r="H29" s="62"/>
      <c r="I29" s="27" t="e">
        <f>#REF!</f>
        <v>#REF!</v>
      </c>
      <c r="L29" s="6"/>
    </row>
    <row r="30" spans="1:12" s="2" customFormat="1" ht="17.25" customHeight="1">
      <c r="A30" s="181"/>
      <c r="B30" s="91" t="s">
        <v>325</v>
      </c>
      <c r="C30" s="91" t="s">
        <v>52</v>
      </c>
      <c r="D30" s="91">
        <v>1.015</v>
      </c>
      <c r="E30" s="86">
        <f>E27*D30</f>
        <v>59.479</v>
      </c>
      <c r="F30" s="518"/>
      <c r="G30" s="509"/>
      <c r="H30" s="62"/>
      <c r="I30" s="27" t="e">
        <f>#REF!</f>
        <v>#REF!</v>
      </c>
      <c r="L30" s="6"/>
    </row>
    <row r="31" spans="1:16" s="2" customFormat="1" ht="20.25" customHeight="1">
      <c r="A31" s="181"/>
      <c r="B31" s="91" t="s">
        <v>812</v>
      </c>
      <c r="C31" s="91" t="s">
        <v>52</v>
      </c>
      <c r="D31" s="91">
        <v>1.015</v>
      </c>
      <c r="E31" s="86">
        <f>D31*E27</f>
        <v>59.479</v>
      </c>
      <c r="F31" s="518"/>
      <c r="G31" s="513"/>
      <c r="H31" s="55" t="e">
        <f>#REF!/#REF!</f>
        <v>#REF!</v>
      </c>
      <c r="I31" s="27" t="e">
        <f>#REF!</f>
        <v>#REF!</v>
      </c>
      <c r="J31" s="4"/>
      <c r="K31" s="4"/>
      <c r="L31" s="4"/>
      <c r="M31" s="4"/>
      <c r="N31" s="4"/>
      <c r="O31" s="4"/>
      <c r="P31" s="4"/>
    </row>
    <row r="32" spans="1:16" s="4" customFormat="1" ht="24.75" customHeight="1">
      <c r="A32" s="181"/>
      <c r="B32" s="91" t="s">
        <v>307</v>
      </c>
      <c r="C32" s="91" t="s">
        <v>80</v>
      </c>
      <c r="D32" s="91">
        <v>2.46</v>
      </c>
      <c r="E32" s="86">
        <f>D32*E27</f>
        <v>144.156</v>
      </c>
      <c r="F32" s="518"/>
      <c r="G32" s="509"/>
      <c r="H32" s="1"/>
      <c r="I32" s="27" t="e">
        <f>#REF!</f>
        <v>#REF!</v>
      </c>
      <c r="J32" s="8" t="e">
        <f>#REF!</f>
        <v>#REF!</v>
      </c>
      <c r="K32" s="1"/>
      <c r="L32" s="1"/>
      <c r="M32" s="1"/>
      <c r="N32" s="1"/>
      <c r="O32" s="1"/>
      <c r="P32" s="1"/>
    </row>
    <row r="33" spans="1:16" ht="24.75" customHeight="1">
      <c r="A33" s="181"/>
      <c r="B33" s="91" t="s">
        <v>347</v>
      </c>
      <c r="C33" s="91" t="s">
        <v>52</v>
      </c>
      <c r="D33" s="91">
        <f>0.016+0.007</f>
        <v>0.023</v>
      </c>
      <c r="E33" s="86">
        <f>D33*E27</f>
        <v>1.3478</v>
      </c>
      <c r="F33" s="518"/>
      <c r="G33" s="509"/>
      <c r="H33" s="4"/>
      <c r="I33" s="27" t="e">
        <f>#REF!</f>
        <v>#REF!</v>
      </c>
      <c r="J33" s="4"/>
      <c r="K33" s="4"/>
      <c r="L33" s="4"/>
      <c r="M33" s="4"/>
      <c r="N33" s="4"/>
      <c r="O33" s="4"/>
      <c r="P33" s="4"/>
    </row>
    <row r="34" spans="1:16" s="4" customFormat="1" ht="22.5" customHeight="1">
      <c r="A34" s="181"/>
      <c r="B34" s="91" t="s">
        <v>276</v>
      </c>
      <c r="C34" s="91" t="s">
        <v>78</v>
      </c>
      <c r="D34" s="91">
        <v>0.0033</v>
      </c>
      <c r="E34" s="112">
        <f>E27*D34</f>
        <v>0.19338</v>
      </c>
      <c r="F34" s="518"/>
      <c r="G34" s="509"/>
      <c r="H34" s="73"/>
      <c r="I34" s="27" t="e">
        <f>#REF!</f>
        <v>#REF!</v>
      </c>
      <c r="J34" s="63"/>
      <c r="K34" s="15"/>
      <c r="L34" s="15"/>
      <c r="M34" s="15"/>
      <c r="N34" s="15"/>
      <c r="O34" s="15"/>
      <c r="P34" s="15"/>
    </row>
    <row r="35" spans="1:44" s="2" customFormat="1" ht="18.75" customHeight="1">
      <c r="A35" s="181"/>
      <c r="B35" s="91" t="s">
        <v>56</v>
      </c>
      <c r="C35" s="91" t="s">
        <v>54</v>
      </c>
      <c r="D35" s="91">
        <v>0.9</v>
      </c>
      <c r="E35" s="86">
        <f>D35*E27</f>
        <v>52.74</v>
      </c>
      <c r="F35" s="518"/>
      <c r="G35" s="509"/>
      <c r="H35" s="72"/>
      <c r="I35" s="27" t="e">
        <f>#REF!</f>
        <v>#REF!</v>
      </c>
      <c r="J35" s="72"/>
      <c r="K35" s="72"/>
      <c r="L35" s="72"/>
      <c r="M35" s="72"/>
      <c r="N35" s="72"/>
      <c r="O35" s="72"/>
      <c r="P35" s="72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</row>
    <row r="36" spans="1:9" s="72" customFormat="1" ht="23.25" customHeight="1">
      <c r="A36" s="234">
        <v>6</v>
      </c>
      <c r="B36" s="133" t="s">
        <v>725</v>
      </c>
      <c r="C36" s="133" t="s">
        <v>78</v>
      </c>
      <c r="D36" s="133"/>
      <c r="E36" s="401">
        <v>6.94</v>
      </c>
      <c r="F36" s="510"/>
      <c r="G36" s="511"/>
      <c r="I36" s="27"/>
    </row>
    <row r="37" spans="1:9" s="72" customFormat="1" ht="20.25" customHeight="1">
      <c r="A37" s="104"/>
      <c r="B37" s="91" t="s">
        <v>88</v>
      </c>
      <c r="C37" s="91" t="s">
        <v>78</v>
      </c>
      <c r="D37" s="91">
        <v>1.01</v>
      </c>
      <c r="E37" s="114">
        <f>E36*D37</f>
        <v>7.0094</v>
      </c>
      <c r="F37" s="518"/>
      <c r="G37" s="513"/>
      <c r="I37" s="27"/>
    </row>
    <row r="38" spans="1:9" s="72" customFormat="1" ht="20.25" customHeight="1">
      <c r="A38" s="104"/>
      <c r="B38" s="91" t="s">
        <v>278</v>
      </c>
      <c r="C38" s="91" t="s">
        <v>53</v>
      </c>
      <c r="D38" s="91">
        <v>3</v>
      </c>
      <c r="E38" s="114">
        <f>E36*D38</f>
        <v>20.82</v>
      </c>
      <c r="F38" s="518"/>
      <c r="G38" s="513"/>
      <c r="I38" s="27"/>
    </row>
    <row r="39" spans="1:9" s="72" customFormat="1" ht="24" customHeight="1">
      <c r="A39" s="104"/>
      <c r="B39" s="91" t="s">
        <v>89</v>
      </c>
      <c r="C39" s="91" t="s">
        <v>53</v>
      </c>
      <c r="D39" s="91">
        <v>4</v>
      </c>
      <c r="E39" s="114">
        <f>E36*D39</f>
        <v>27.76</v>
      </c>
      <c r="F39" s="518"/>
      <c r="G39" s="513"/>
      <c r="I39" s="27"/>
    </row>
    <row r="40" spans="1:16" s="72" customFormat="1" ht="45" customHeight="1">
      <c r="A40" s="198" t="s">
        <v>76</v>
      </c>
      <c r="B40" s="133" t="s">
        <v>726</v>
      </c>
      <c r="C40" s="133" t="s">
        <v>59</v>
      </c>
      <c r="D40" s="133"/>
      <c r="E40" s="349">
        <v>720</v>
      </c>
      <c r="F40" s="510"/>
      <c r="G40" s="511"/>
      <c r="H40" s="4"/>
      <c r="I40" s="27" t="e">
        <f>#REF!</f>
        <v>#REF!</v>
      </c>
      <c r="J40" s="4"/>
      <c r="K40" s="4"/>
      <c r="L40" s="4"/>
      <c r="M40" s="4"/>
      <c r="N40" s="4"/>
      <c r="O40" s="4"/>
      <c r="P40" s="4"/>
    </row>
    <row r="41" spans="1:17" s="72" customFormat="1" ht="18.75" customHeight="1">
      <c r="A41" s="181"/>
      <c r="B41" s="102" t="s">
        <v>469</v>
      </c>
      <c r="C41" s="102" t="s">
        <v>44</v>
      </c>
      <c r="D41" s="102">
        <v>0.0189</v>
      </c>
      <c r="E41" s="103">
        <f>E40*D41</f>
        <v>13.608</v>
      </c>
      <c r="F41" s="518"/>
      <c r="G41" s="513"/>
      <c r="H41" s="4"/>
      <c r="I41" s="27" t="e">
        <f>#REF!</f>
        <v>#REF!</v>
      </c>
      <c r="J41" s="4"/>
      <c r="K41" s="4"/>
      <c r="L41" s="4"/>
      <c r="M41" s="4"/>
      <c r="N41" s="4"/>
      <c r="O41" s="4"/>
      <c r="P41" s="4"/>
      <c r="Q41" s="4"/>
    </row>
    <row r="42" spans="1:17" s="72" customFormat="1" ht="19.5" customHeight="1">
      <c r="A42" s="181"/>
      <c r="B42" s="102" t="s">
        <v>466</v>
      </c>
      <c r="C42" s="87" t="s">
        <v>62</v>
      </c>
      <c r="D42" s="102">
        <v>0.037</v>
      </c>
      <c r="E42" s="103">
        <f>E40*D42</f>
        <v>26.639999999999997</v>
      </c>
      <c r="F42" s="518"/>
      <c r="G42" s="513"/>
      <c r="H42" s="5"/>
      <c r="I42" s="27" t="e">
        <f>#REF!</f>
        <v>#REF!</v>
      </c>
      <c r="J42" s="5"/>
      <c r="K42" s="5"/>
      <c r="L42" s="5"/>
      <c r="M42" s="5"/>
      <c r="N42" s="5"/>
      <c r="O42" s="5"/>
      <c r="P42" s="5"/>
      <c r="Q42" s="4"/>
    </row>
    <row r="43" spans="1:17" s="72" customFormat="1" ht="20.25" customHeight="1">
      <c r="A43" s="181"/>
      <c r="B43" s="91" t="s">
        <v>467</v>
      </c>
      <c r="C43" s="87" t="s">
        <v>62</v>
      </c>
      <c r="D43" s="102">
        <v>0.0032</v>
      </c>
      <c r="E43" s="103">
        <f>E40*D43</f>
        <v>2.3040000000000003</v>
      </c>
      <c r="F43" s="518"/>
      <c r="G43" s="509"/>
      <c r="H43" s="4"/>
      <c r="I43" s="27" t="e">
        <f>#REF!</f>
        <v>#REF!</v>
      </c>
      <c r="J43" s="4"/>
      <c r="K43" s="4"/>
      <c r="L43" s="4"/>
      <c r="M43" s="4"/>
      <c r="N43" s="4"/>
      <c r="O43" s="4"/>
      <c r="P43" s="4"/>
      <c r="Q43" s="5"/>
    </row>
    <row r="44" spans="1:17" s="72" customFormat="1" ht="21.75" customHeight="1">
      <c r="A44" s="181"/>
      <c r="B44" s="91" t="s">
        <v>468</v>
      </c>
      <c r="C44" s="87" t="s">
        <v>62</v>
      </c>
      <c r="D44" s="91">
        <v>0.0008</v>
      </c>
      <c r="E44" s="86">
        <f>D44*E40</f>
        <v>0.5760000000000001</v>
      </c>
      <c r="F44" s="518"/>
      <c r="G44" s="509"/>
      <c r="H44" s="55" t="e">
        <f>#REF!/#REF!</f>
        <v>#REF!</v>
      </c>
      <c r="I44" s="27" t="e">
        <f>#REF!</f>
        <v>#REF!</v>
      </c>
      <c r="J44" s="63"/>
      <c r="K44" s="15"/>
      <c r="L44" s="15"/>
      <c r="M44" s="15"/>
      <c r="N44" s="15"/>
      <c r="O44" s="15"/>
      <c r="P44" s="15"/>
      <c r="Q44" s="4"/>
    </row>
    <row r="45" spans="1:17" s="4" customFormat="1" ht="24" customHeight="1">
      <c r="A45" s="181"/>
      <c r="B45" s="91" t="s">
        <v>465</v>
      </c>
      <c r="C45" s="87" t="s">
        <v>62</v>
      </c>
      <c r="D45" s="91">
        <v>0.0013</v>
      </c>
      <c r="E45" s="86">
        <f>D45*E40</f>
        <v>0.9359999999999999</v>
      </c>
      <c r="F45" s="518"/>
      <c r="G45" s="509"/>
      <c r="H45" s="62"/>
      <c r="I45" s="27" t="e">
        <f>#REF!</f>
        <v>#REF!</v>
      </c>
      <c r="J45" s="63"/>
      <c r="K45" s="15"/>
      <c r="L45" s="15"/>
      <c r="M45" s="15"/>
      <c r="N45" s="15"/>
      <c r="O45" s="15"/>
      <c r="P45" s="15"/>
      <c r="Q45" s="15"/>
    </row>
    <row r="46" spans="1:17" s="4" customFormat="1" ht="41.25" customHeight="1">
      <c r="A46" s="234">
        <v>8</v>
      </c>
      <c r="B46" s="133" t="s">
        <v>755</v>
      </c>
      <c r="C46" s="133" t="s">
        <v>59</v>
      </c>
      <c r="D46" s="133"/>
      <c r="E46" s="349">
        <v>150</v>
      </c>
      <c r="F46" s="510"/>
      <c r="G46" s="511"/>
      <c r="H46" s="29"/>
      <c r="I46" s="27">
        <f aca="true" t="shared" si="2" ref="I46:I53">G122</f>
        <v>0</v>
      </c>
      <c r="J46" s="55"/>
      <c r="K46" s="14"/>
      <c r="L46" s="14"/>
      <c r="M46" s="14"/>
      <c r="N46" s="14"/>
      <c r="O46" s="14"/>
      <c r="P46" s="14"/>
      <c r="Q46" s="15"/>
    </row>
    <row r="47" spans="1:16" ht="21" customHeight="1">
      <c r="A47" s="181"/>
      <c r="B47" s="91" t="s">
        <v>655</v>
      </c>
      <c r="C47" s="102" t="s">
        <v>44</v>
      </c>
      <c r="D47" s="91">
        <f>1.15*3.16</f>
        <v>3.634</v>
      </c>
      <c r="E47" s="86">
        <f>D47*E46</f>
        <v>545.1</v>
      </c>
      <c r="F47" s="518"/>
      <c r="G47" s="513"/>
      <c r="H47" s="29"/>
      <c r="I47" s="27">
        <f t="shared" si="2"/>
        <v>0</v>
      </c>
      <c r="J47" s="63"/>
      <c r="K47" s="15"/>
      <c r="L47" s="15"/>
      <c r="M47" s="15"/>
      <c r="N47" s="15"/>
      <c r="O47" s="15"/>
      <c r="P47" s="15"/>
    </row>
    <row r="48" spans="1:16" ht="18" customHeight="1">
      <c r="A48" s="181"/>
      <c r="B48" s="91" t="s">
        <v>93</v>
      </c>
      <c r="C48" s="91" t="s">
        <v>52</v>
      </c>
      <c r="D48" s="91">
        <v>1.22</v>
      </c>
      <c r="E48" s="86">
        <f>D48*E46</f>
        <v>183</v>
      </c>
      <c r="F48" s="515"/>
      <c r="G48" s="513"/>
      <c r="H48" s="29"/>
      <c r="I48" s="27">
        <f t="shared" si="2"/>
        <v>0</v>
      </c>
      <c r="J48" s="55"/>
      <c r="K48" s="14"/>
      <c r="L48" s="14"/>
      <c r="M48" s="14"/>
      <c r="N48" s="14"/>
      <c r="O48" s="14"/>
      <c r="P48" s="14"/>
    </row>
    <row r="49" spans="1:16" ht="21" customHeight="1">
      <c r="A49" s="181"/>
      <c r="B49" s="102" t="s">
        <v>63</v>
      </c>
      <c r="C49" s="91" t="s">
        <v>54</v>
      </c>
      <c r="D49" s="91">
        <v>0.01</v>
      </c>
      <c r="E49" s="86">
        <f>D49*E46</f>
        <v>1.5</v>
      </c>
      <c r="F49" s="518"/>
      <c r="G49" s="513"/>
      <c r="H49" s="29"/>
      <c r="I49" s="27">
        <f t="shared" si="2"/>
        <v>0</v>
      </c>
      <c r="J49" s="63"/>
      <c r="K49" s="15"/>
      <c r="L49" s="15"/>
      <c r="M49" s="15"/>
      <c r="N49" s="15"/>
      <c r="O49" s="15"/>
      <c r="P49" s="15"/>
    </row>
    <row r="50" spans="1:16" ht="22.5" customHeight="1">
      <c r="A50" s="181"/>
      <c r="B50" s="91" t="s">
        <v>465</v>
      </c>
      <c r="C50" s="87" t="s">
        <v>62</v>
      </c>
      <c r="D50" s="91">
        <v>0.0013</v>
      </c>
      <c r="E50" s="86">
        <f>E46*D50</f>
        <v>0.19499999999999998</v>
      </c>
      <c r="F50" s="518"/>
      <c r="G50" s="509"/>
      <c r="H50" s="55">
        <f>G126/E126</f>
        <v>0</v>
      </c>
      <c r="I50" s="27">
        <f t="shared" si="2"/>
        <v>0</v>
      </c>
      <c r="J50" s="63"/>
      <c r="K50" s="15"/>
      <c r="L50" s="15"/>
      <c r="M50" s="15"/>
      <c r="N50" s="15"/>
      <c r="O50" s="15"/>
      <c r="P50" s="15"/>
    </row>
    <row r="51" spans="1:16" ht="37.5" customHeight="1">
      <c r="A51" s="198" t="s">
        <v>121</v>
      </c>
      <c r="B51" s="133" t="s">
        <v>756</v>
      </c>
      <c r="C51" s="133" t="s">
        <v>52</v>
      </c>
      <c r="D51" s="133"/>
      <c r="E51" s="243">
        <v>21.05</v>
      </c>
      <c r="F51" s="510"/>
      <c r="G51" s="511"/>
      <c r="H51" s="2"/>
      <c r="I51" s="27">
        <f t="shared" si="2"/>
        <v>0</v>
      </c>
      <c r="J51" s="63"/>
      <c r="K51" s="15"/>
      <c r="L51" s="15"/>
      <c r="M51" s="15"/>
      <c r="N51" s="15"/>
      <c r="O51" s="15"/>
      <c r="P51" s="15"/>
    </row>
    <row r="52" spans="1:16" ht="18.75" customHeight="1">
      <c r="A52" s="181"/>
      <c r="B52" s="91" t="s">
        <v>751</v>
      </c>
      <c r="C52" s="102" t="s">
        <v>44</v>
      </c>
      <c r="D52" s="91">
        <f>1.15*3.52</f>
        <v>4.048</v>
      </c>
      <c r="E52" s="86">
        <f>D52*E51</f>
        <v>85.2104</v>
      </c>
      <c r="F52" s="519"/>
      <c r="G52" s="513"/>
      <c r="H52" s="2"/>
      <c r="I52" s="27">
        <f t="shared" si="2"/>
        <v>0</v>
      </c>
      <c r="J52" s="63"/>
      <c r="K52" s="15"/>
      <c r="L52" s="15"/>
      <c r="M52" s="15"/>
      <c r="N52" s="15"/>
      <c r="O52" s="15"/>
      <c r="P52" s="15"/>
    </row>
    <row r="53" spans="1:16" ht="24" customHeight="1">
      <c r="A53" s="181"/>
      <c r="B53" s="91" t="s">
        <v>752</v>
      </c>
      <c r="C53" s="91" t="s">
        <v>54</v>
      </c>
      <c r="D53" s="91">
        <f>1.15*1.06</f>
        <v>1.2189999999999999</v>
      </c>
      <c r="E53" s="86">
        <f>D53*E51</f>
        <v>25.65995</v>
      </c>
      <c r="F53" s="518"/>
      <c r="G53" s="513"/>
      <c r="H53" s="2"/>
      <c r="I53" s="27">
        <f t="shared" si="2"/>
        <v>0</v>
      </c>
      <c r="J53" s="63"/>
      <c r="K53" s="15"/>
      <c r="L53" s="15"/>
      <c r="M53" s="15"/>
      <c r="N53" s="15"/>
      <c r="O53" s="15"/>
      <c r="P53" s="15"/>
    </row>
    <row r="54" spans="1:16" ht="21" customHeight="1">
      <c r="A54" s="181"/>
      <c r="B54" s="91" t="s">
        <v>570</v>
      </c>
      <c r="C54" s="91" t="s">
        <v>52</v>
      </c>
      <c r="D54" s="91">
        <v>1.24</v>
      </c>
      <c r="E54" s="86">
        <f>D54*E51</f>
        <v>26.102</v>
      </c>
      <c r="F54" s="518"/>
      <c r="G54" s="513"/>
      <c r="H54" s="55" t="e">
        <f>#REF!/#REF!</f>
        <v>#REF!</v>
      </c>
      <c r="I54" s="27" t="e">
        <f>#REF!</f>
        <v>#REF!</v>
      </c>
      <c r="J54" s="4"/>
      <c r="K54" s="4"/>
      <c r="L54" s="4"/>
      <c r="M54" s="4"/>
      <c r="N54" s="4"/>
      <c r="O54" s="4"/>
      <c r="P54" s="4"/>
    </row>
    <row r="55" spans="1:17" ht="19.5" customHeight="1">
      <c r="A55" s="181"/>
      <c r="B55" s="102" t="s">
        <v>63</v>
      </c>
      <c r="C55" s="91" t="s">
        <v>54</v>
      </c>
      <c r="D55" s="91">
        <v>0.02</v>
      </c>
      <c r="E55" s="86">
        <f>D55*E51</f>
        <v>0.42100000000000004</v>
      </c>
      <c r="F55" s="518"/>
      <c r="G55" s="513"/>
      <c r="H55" s="1"/>
      <c r="I55" s="27" t="e">
        <f>#REF!</f>
        <v>#REF!</v>
      </c>
      <c r="J55" s="8" t="e">
        <f>#REF!</f>
        <v>#REF!</v>
      </c>
      <c r="K55" s="1"/>
      <c r="L55" s="1"/>
      <c r="M55" s="1"/>
      <c r="Q55" s="3"/>
    </row>
    <row r="56" spans="1:17" ht="48.75" customHeight="1">
      <c r="A56" s="198" t="s">
        <v>122</v>
      </c>
      <c r="B56" s="133" t="s">
        <v>814</v>
      </c>
      <c r="C56" s="133" t="s">
        <v>52</v>
      </c>
      <c r="D56" s="133"/>
      <c r="E56" s="133">
        <v>54</v>
      </c>
      <c r="F56" s="510"/>
      <c r="G56" s="511"/>
      <c r="H56" s="8"/>
      <c r="I56" s="27" t="e">
        <f>#REF!</f>
        <v>#REF!</v>
      </c>
      <c r="J56" s="4"/>
      <c r="K56" s="4"/>
      <c r="L56" s="4"/>
      <c r="M56" s="4"/>
      <c r="N56" s="4"/>
      <c r="O56" s="4"/>
      <c r="P56" s="4"/>
      <c r="Q56" s="3"/>
    </row>
    <row r="57" spans="1:17" ht="21.75" customHeight="1">
      <c r="A57" s="181"/>
      <c r="B57" s="91" t="s">
        <v>552</v>
      </c>
      <c r="C57" s="102" t="s">
        <v>44</v>
      </c>
      <c r="D57" s="91">
        <f>1.15*2.9</f>
        <v>3.3349999999999995</v>
      </c>
      <c r="E57" s="86">
        <f>D57*E56</f>
        <v>180.08999999999997</v>
      </c>
      <c r="F57" s="519"/>
      <c r="G57" s="513"/>
      <c r="H57" s="73"/>
      <c r="I57" s="27" t="e">
        <f>#REF!</f>
        <v>#REF!</v>
      </c>
      <c r="J57" s="63"/>
      <c r="K57" s="15"/>
      <c r="L57" s="15"/>
      <c r="M57" s="15"/>
      <c r="N57" s="15"/>
      <c r="O57" s="15"/>
      <c r="P57" s="15"/>
      <c r="Q57" s="4"/>
    </row>
    <row r="58" spans="1:16" ht="15" customHeight="1">
      <c r="A58" s="181"/>
      <c r="B58" s="91" t="s">
        <v>788</v>
      </c>
      <c r="C58" s="91" t="s">
        <v>52</v>
      </c>
      <c r="D58" s="91">
        <v>1.015</v>
      </c>
      <c r="E58" s="86">
        <f>E56*D58</f>
        <v>54.809999999999995</v>
      </c>
      <c r="F58" s="518"/>
      <c r="G58" s="513"/>
      <c r="H58" s="72"/>
      <c r="I58" s="27" t="e">
        <f>#REF!</f>
        <v>#REF!</v>
      </c>
      <c r="J58" s="72"/>
      <c r="K58" s="72"/>
      <c r="L58" s="72"/>
      <c r="M58" s="72"/>
      <c r="N58" s="72"/>
      <c r="O58" s="72"/>
      <c r="P58" s="72"/>
    </row>
    <row r="59" spans="1:17" s="4" customFormat="1" ht="21.75" customHeight="1">
      <c r="A59" s="181"/>
      <c r="B59" s="102" t="s">
        <v>63</v>
      </c>
      <c r="C59" s="91" t="s">
        <v>54</v>
      </c>
      <c r="D59" s="91">
        <v>0.88</v>
      </c>
      <c r="E59" s="86">
        <f>D59*E56</f>
        <v>47.52</v>
      </c>
      <c r="F59" s="518"/>
      <c r="G59" s="513"/>
      <c r="H59" s="9"/>
      <c r="I59" s="27" t="e">
        <f>#REF!</f>
        <v>#REF!</v>
      </c>
      <c r="J59" s="5"/>
      <c r="K59" s="5"/>
      <c r="L59" s="5"/>
      <c r="M59" s="5"/>
      <c r="N59" s="5"/>
      <c r="O59" s="5"/>
      <c r="P59" s="5"/>
      <c r="Q59" s="5"/>
    </row>
    <row r="60" spans="1:17" s="72" customFormat="1" ht="50.25" customHeight="1">
      <c r="A60" s="198" t="s">
        <v>152</v>
      </c>
      <c r="B60" s="431" t="s">
        <v>887</v>
      </c>
      <c r="C60" s="133" t="s">
        <v>689</v>
      </c>
      <c r="D60" s="133"/>
      <c r="E60" s="133">
        <v>2.45</v>
      </c>
      <c r="F60" s="510"/>
      <c r="G60" s="511"/>
      <c r="H60" s="8"/>
      <c r="I60" s="27" t="e">
        <f>#REF!</f>
        <v>#REF!</v>
      </c>
      <c r="J60" s="4"/>
      <c r="K60" s="4"/>
      <c r="L60" s="4"/>
      <c r="M60" s="4"/>
      <c r="N60" s="4"/>
      <c r="O60" s="4"/>
      <c r="P60" s="4"/>
      <c r="Q60" s="4"/>
    </row>
    <row r="61" spans="1:17" s="5" customFormat="1" ht="22.5" customHeight="1">
      <c r="A61" s="181"/>
      <c r="B61" s="91" t="s">
        <v>753</v>
      </c>
      <c r="C61" s="102" t="s">
        <v>44</v>
      </c>
      <c r="D61" s="91">
        <f>1.15*12.3</f>
        <v>14.145</v>
      </c>
      <c r="E61" s="86">
        <f>D61*E60</f>
        <v>34.65525</v>
      </c>
      <c r="F61" s="519"/>
      <c r="G61" s="513"/>
      <c r="H61" s="9"/>
      <c r="I61" s="27" t="e">
        <f>#REF!</f>
        <v>#REF!</v>
      </c>
      <c r="Q61" s="15"/>
    </row>
    <row r="62" spans="1:17" s="4" customFormat="1" ht="21.75" customHeight="1">
      <c r="A62" s="181"/>
      <c r="B62" s="91" t="s">
        <v>754</v>
      </c>
      <c r="C62" s="91" t="s">
        <v>54</v>
      </c>
      <c r="D62" s="91">
        <f>1.15*1.4</f>
        <v>1.6099999999999999</v>
      </c>
      <c r="E62" s="86">
        <f>D62*E60</f>
        <v>3.9445</v>
      </c>
      <c r="F62" s="518"/>
      <c r="G62" s="513"/>
      <c r="H62" s="8"/>
      <c r="I62" s="27" t="e">
        <f>#REF!</f>
        <v>#REF!</v>
      </c>
      <c r="Q62" s="15"/>
    </row>
    <row r="63" spans="1:17" s="5" customFormat="1" ht="20.25" customHeight="1">
      <c r="A63" s="181"/>
      <c r="B63" s="91" t="s">
        <v>88</v>
      </c>
      <c r="C63" s="91" t="s">
        <v>689</v>
      </c>
      <c r="D63" s="91">
        <v>1.01</v>
      </c>
      <c r="E63" s="86">
        <f>E60*D63</f>
        <v>2.4745000000000004</v>
      </c>
      <c r="F63" s="518"/>
      <c r="G63" s="513"/>
      <c r="H63" s="55" t="e">
        <f>#REF!/#REF!</f>
        <v>#REF!</v>
      </c>
      <c r="I63" s="27" t="e">
        <f>#REF!</f>
        <v>#REF!</v>
      </c>
      <c r="J63" s="63"/>
      <c r="K63" s="15"/>
      <c r="L63" s="15"/>
      <c r="M63" s="15"/>
      <c r="N63" s="15"/>
      <c r="O63" s="15"/>
      <c r="P63" s="15"/>
      <c r="Q63" s="15"/>
    </row>
    <row r="64" spans="1:17" s="4" customFormat="1" ht="23.25" customHeight="1">
      <c r="A64" s="181"/>
      <c r="B64" s="102" t="s">
        <v>63</v>
      </c>
      <c r="C64" s="91" t="s">
        <v>54</v>
      </c>
      <c r="D64" s="91">
        <v>7.15</v>
      </c>
      <c r="E64" s="86">
        <f>D64*E60</f>
        <v>17.517500000000002</v>
      </c>
      <c r="F64" s="518"/>
      <c r="G64" s="513"/>
      <c r="H64" s="62"/>
      <c r="I64" s="27" t="e">
        <f>#REF!</f>
        <v>#REF!</v>
      </c>
      <c r="J64" s="63"/>
      <c r="K64" s="15"/>
      <c r="L64" s="15"/>
      <c r="M64" s="15"/>
      <c r="N64" s="15"/>
      <c r="O64" s="15"/>
      <c r="P64" s="15"/>
      <c r="Q64" s="15"/>
    </row>
    <row r="65" spans="1:52" s="4" customFormat="1" ht="41.25" customHeight="1">
      <c r="A65" s="198" t="s">
        <v>189</v>
      </c>
      <c r="B65" s="133" t="s">
        <v>815</v>
      </c>
      <c r="C65" s="133" t="s">
        <v>59</v>
      </c>
      <c r="D65" s="133"/>
      <c r="E65" s="243">
        <v>81.4</v>
      </c>
      <c r="F65" s="510"/>
      <c r="G65" s="507"/>
      <c r="H65" s="62"/>
      <c r="I65" s="27" t="e">
        <f>#REF!</f>
        <v>#REF!</v>
      </c>
      <c r="J65" s="63"/>
      <c r="K65" s="15"/>
      <c r="L65" s="15"/>
      <c r="M65" s="15"/>
      <c r="N65" s="15"/>
      <c r="O65" s="15"/>
      <c r="P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2"/>
      <c r="AT65" s="2"/>
      <c r="AU65" s="2"/>
      <c r="AV65" s="2"/>
      <c r="AW65" s="2"/>
      <c r="AX65" s="2"/>
      <c r="AY65" s="2"/>
      <c r="AZ65" s="2"/>
    </row>
    <row r="66" spans="1:52" s="4" customFormat="1" ht="22.5" customHeight="1">
      <c r="A66" s="181"/>
      <c r="B66" s="102" t="s">
        <v>329</v>
      </c>
      <c r="C66" s="102" t="s">
        <v>44</v>
      </c>
      <c r="D66" s="91">
        <f>1.15*13.3</f>
        <v>15.295</v>
      </c>
      <c r="E66" s="116">
        <f>D66*E65</f>
        <v>1245.0130000000001</v>
      </c>
      <c r="F66" s="518"/>
      <c r="G66" s="509"/>
      <c r="H66" s="62"/>
      <c r="I66" s="27" t="e">
        <f>#REF!</f>
        <v>#REF!</v>
      </c>
      <c r="J66" s="63"/>
      <c r="K66" s="15"/>
      <c r="L66" s="15"/>
      <c r="M66" s="15"/>
      <c r="N66" s="15"/>
      <c r="O66" s="15"/>
      <c r="P66" s="15"/>
      <c r="Q66" s="1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2"/>
      <c r="AT66" s="2"/>
      <c r="AU66" s="2"/>
      <c r="AV66" s="2"/>
      <c r="AW66" s="2"/>
      <c r="AX66" s="2"/>
      <c r="AY66" s="2"/>
      <c r="AZ66" s="2"/>
    </row>
    <row r="67" spans="1:52" s="4" customFormat="1" ht="21.75" customHeight="1">
      <c r="A67" s="181"/>
      <c r="B67" s="91" t="s">
        <v>330</v>
      </c>
      <c r="C67" s="91" t="s">
        <v>54</v>
      </c>
      <c r="D67" s="91">
        <f>1.15*3.36</f>
        <v>3.8639999999999994</v>
      </c>
      <c r="E67" s="86">
        <f>D67*E65</f>
        <v>314.52959999999996</v>
      </c>
      <c r="F67" s="518"/>
      <c r="G67" s="509"/>
      <c r="H67" s="2"/>
      <c r="I67" s="27" t="e">
        <f>#REF!</f>
        <v>#REF!</v>
      </c>
      <c r="J67" s="2"/>
      <c r="K67" s="2"/>
      <c r="L67" s="2"/>
      <c r="M67" s="2"/>
      <c r="N67" s="2"/>
      <c r="O67" s="2"/>
      <c r="P67" s="2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2"/>
      <c r="AT67" s="2"/>
      <c r="AU67" s="2"/>
      <c r="AV67" s="2"/>
      <c r="AW67" s="2"/>
      <c r="AX67" s="2"/>
      <c r="AY67" s="2"/>
      <c r="AZ67" s="2"/>
    </row>
    <row r="68" spans="1:52" s="4" customFormat="1" ht="18.75" customHeight="1">
      <c r="A68" s="181"/>
      <c r="B68" s="91" t="s">
        <v>325</v>
      </c>
      <c r="C68" s="91" t="s">
        <v>52</v>
      </c>
      <c r="D68" s="91">
        <v>1.015</v>
      </c>
      <c r="E68" s="86">
        <f>E65*D68</f>
        <v>82.621</v>
      </c>
      <c r="F68" s="518"/>
      <c r="G68" s="509"/>
      <c r="H68" s="2"/>
      <c r="I68" s="27" t="e">
        <f>#REF!</f>
        <v>#REF!</v>
      </c>
      <c r="J68" s="63" t="e">
        <f>#REF!</f>
        <v>#REF!</v>
      </c>
      <c r="K68" s="2"/>
      <c r="L68" s="2"/>
      <c r="M68" s="2"/>
      <c r="N68" s="2"/>
      <c r="O68" s="2"/>
      <c r="P68" s="2"/>
      <c r="Q68" s="72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2"/>
      <c r="AT68" s="2"/>
      <c r="AU68" s="2"/>
      <c r="AV68" s="2"/>
      <c r="AW68" s="2"/>
      <c r="AX68" s="2"/>
      <c r="AY68" s="2"/>
      <c r="AZ68" s="2"/>
    </row>
    <row r="69" spans="1:17" s="4" customFormat="1" ht="20.25" customHeight="1">
      <c r="A69" s="181"/>
      <c r="B69" s="91" t="s">
        <v>816</v>
      </c>
      <c r="C69" s="91" t="s">
        <v>52</v>
      </c>
      <c r="D69" s="91">
        <v>1.015</v>
      </c>
      <c r="E69" s="86">
        <f>D69*E65</f>
        <v>82.621</v>
      </c>
      <c r="F69" s="515"/>
      <c r="G69" s="513"/>
      <c r="H69" s="6"/>
      <c r="I69" s="27" t="e">
        <f>#REF!</f>
        <v>#REF!</v>
      </c>
      <c r="J69" s="6"/>
      <c r="K69" s="6"/>
      <c r="L69" s="6"/>
      <c r="M69" s="6"/>
      <c r="N69" s="6"/>
      <c r="O69" s="6"/>
      <c r="P69" s="6"/>
      <c r="Q69" s="5"/>
    </row>
    <row r="70" spans="1:17" ht="24" customHeight="1">
      <c r="A70" s="181"/>
      <c r="B70" s="91" t="s">
        <v>307</v>
      </c>
      <c r="C70" s="91" t="s">
        <v>80</v>
      </c>
      <c r="D70" s="91">
        <v>2.42</v>
      </c>
      <c r="E70" s="86">
        <f>D70*E65</f>
        <v>196.988</v>
      </c>
      <c r="F70" s="518"/>
      <c r="G70" s="509"/>
      <c r="H70" s="2"/>
      <c r="I70" s="27" t="e">
        <f>#REF!</f>
        <v>#REF!</v>
      </c>
      <c r="J70" s="2"/>
      <c r="K70" s="2"/>
      <c r="L70" s="2"/>
      <c r="M70" s="2"/>
      <c r="N70" s="2"/>
      <c r="O70" s="2"/>
      <c r="P70" s="2"/>
      <c r="Q70" s="4"/>
    </row>
    <row r="71" spans="1:17" s="4" customFormat="1" ht="24" customHeight="1">
      <c r="A71" s="181"/>
      <c r="B71" s="91" t="s">
        <v>344</v>
      </c>
      <c r="C71" s="91" t="s">
        <v>52</v>
      </c>
      <c r="D71" s="91">
        <f>0.0581+0.0067</f>
        <v>0.0648</v>
      </c>
      <c r="E71" s="86">
        <f>D71*E65</f>
        <v>5.27472</v>
      </c>
      <c r="F71" s="518"/>
      <c r="G71" s="509"/>
      <c r="H71" s="2"/>
      <c r="I71" s="27" t="e">
        <f>#REF!</f>
        <v>#REF!</v>
      </c>
      <c r="J71" s="2"/>
      <c r="K71" s="2"/>
      <c r="L71" s="2"/>
      <c r="M71" s="2"/>
      <c r="N71" s="2"/>
      <c r="O71" s="2"/>
      <c r="P71" s="2"/>
      <c r="Q71" s="5"/>
    </row>
    <row r="72" spans="1:17" s="72" customFormat="1" ht="21.75" customHeight="1">
      <c r="A72" s="181"/>
      <c r="B72" s="91" t="s">
        <v>276</v>
      </c>
      <c r="C72" s="91" t="s">
        <v>78</v>
      </c>
      <c r="D72" s="91">
        <v>0.0015</v>
      </c>
      <c r="E72" s="112">
        <f>E65*D72</f>
        <v>0.12210000000000001</v>
      </c>
      <c r="F72" s="518"/>
      <c r="G72" s="509"/>
      <c r="H72" s="55" t="e">
        <f>#REF!/#REF!</f>
        <v>#REF!</v>
      </c>
      <c r="I72" s="27" t="e">
        <f>#REF!</f>
        <v>#REF!</v>
      </c>
      <c r="J72" s="2"/>
      <c r="K72" s="2"/>
      <c r="L72" s="2"/>
      <c r="M72" s="2"/>
      <c r="N72" s="2"/>
      <c r="O72" s="2"/>
      <c r="P72" s="2"/>
      <c r="Q72" s="4"/>
    </row>
    <row r="73" spans="1:17" s="5" customFormat="1" ht="20.25" customHeight="1">
      <c r="A73" s="181"/>
      <c r="B73" s="91" t="s">
        <v>56</v>
      </c>
      <c r="C73" s="91" t="s">
        <v>54</v>
      </c>
      <c r="D73" s="91">
        <v>0.6</v>
      </c>
      <c r="E73" s="86">
        <f>D73*E65</f>
        <v>48.84</v>
      </c>
      <c r="F73" s="518"/>
      <c r="G73" s="509"/>
      <c r="H73" s="8"/>
      <c r="I73" s="27" t="e">
        <f>#REF!</f>
        <v>#REF!</v>
      </c>
      <c r="J73" s="7" t="e">
        <f>#REF!</f>
        <v>#REF!</v>
      </c>
      <c r="K73" s="2"/>
      <c r="L73" s="2"/>
      <c r="M73" s="2"/>
      <c r="N73" s="2"/>
      <c r="O73" s="2"/>
      <c r="P73" s="2"/>
      <c r="Q73" s="15"/>
    </row>
    <row r="74" spans="1:17" s="4" customFormat="1" ht="27" customHeight="1">
      <c r="A74" s="234">
        <v>13</v>
      </c>
      <c r="B74" s="133" t="s">
        <v>725</v>
      </c>
      <c r="C74" s="133" t="s">
        <v>78</v>
      </c>
      <c r="D74" s="133"/>
      <c r="E74" s="401">
        <v>7.785</v>
      </c>
      <c r="F74" s="510"/>
      <c r="G74" s="511"/>
      <c r="H74" s="8"/>
      <c r="I74" s="27" t="e">
        <f>#REF!</f>
        <v>#REF!</v>
      </c>
      <c r="J74" s="2"/>
      <c r="K74" s="2"/>
      <c r="L74" s="2"/>
      <c r="M74" s="2"/>
      <c r="N74" s="2"/>
      <c r="O74" s="2"/>
      <c r="P74" s="2"/>
      <c r="Q74" s="15"/>
    </row>
    <row r="75" spans="1:17" s="5" customFormat="1" ht="24" customHeight="1">
      <c r="A75" s="104"/>
      <c r="B75" s="91" t="s">
        <v>88</v>
      </c>
      <c r="C75" s="91" t="s">
        <v>78</v>
      </c>
      <c r="D75" s="91">
        <v>1.01</v>
      </c>
      <c r="E75" s="114">
        <f>E74*D75</f>
        <v>7.86285</v>
      </c>
      <c r="F75" s="518"/>
      <c r="G75" s="513"/>
      <c r="H75" s="71"/>
      <c r="I75" s="27" t="e">
        <f>#REF!</f>
        <v>#REF!</v>
      </c>
      <c r="J75" s="71"/>
      <c r="K75" s="71"/>
      <c r="L75" s="71"/>
      <c r="M75" s="71"/>
      <c r="N75" s="71"/>
      <c r="O75" s="71"/>
      <c r="P75" s="71"/>
      <c r="Q75" s="15"/>
    </row>
    <row r="76" spans="1:17" s="4" customFormat="1" ht="21" customHeight="1">
      <c r="A76" s="104"/>
      <c r="B76" s="91" t="s">
        <v>278</v>
      </c>
      <c r="C76" s="91" t="s">
        <v>53</v>
      </c>
      <c r="D76" s="91">
        <v>3</v>
      </c>
      <c r="E76" s="114">
        <f>E74*D76</f>
        <v>23.355</v>
      </c>
      <c r="F76" s="518"/>
      <c r="G76" s="513"/>
      <c r="H76" s="8"/>
      <c r="I76" s="27" t="e">
        <f>#REF!</f>
        <v>#REF!</v>
      </c>
      <c r="J76" s="2"/>
      <c r="K76" s="2"/>
      <c r="L76" s="2"/>
      <c r="M76" s="2"/>
      <c r="N76" s="2"/>
      <c r="O76" s="2"/>
      <c r="P76" s="2"/>
      <c r="Q76" s="15"/>
    </row>
    <row r="77" spans="1:52" s="4" customFormat="1" ht="24" customHeight="1">
      <c r="A77" s="104"/>
      <c r="B77" s="91" t="s">
        <v>89</v>
      </c>
      <c r="C77" s="91" t="s">
        <v>53</v>
      </c>
      <c r="D77" s="91">
        <v>4</v>
      </c>
      <c r="E77" s="114">
        <f>E74*D77</f>
        <v>31.14</v>
      </c>
      <c r="F77" s="518"/>
      <c r="G77" s="513"/>
      <c r="H77" s="8"/>
      <c r="I77" s="27" t="e">
        <f>#REF!</f>
        <v>#REF!</v>
      </c>
      <c r="J77" s="2"/>
      <c r="K77" s="2"/>
      <c r="L77" s="2"/>
      <c r="M77" s="2"/>
      <c r="N77" s="2"/>
      <c r="O77" s="2"/>
      <c r="P77" s="2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2"/>
      <c r="AT77" s="2"/>
      <c r="AU77" s="2"/>
      <c r="AV77" s="2"/>
      <c r="AW77" s="2"/>
      <c r="AX77" s="2"/>
      <c r="AY77" s="2"/>
      <c r="AZ77" s="2"/>
    </row>
    <row r="78" spans="1:52" s="4" customFormat="1" ht="54.75" customHeight="1">
      <c r="A78" s="198" t="s">
        <v>144</v>
      </c>
      <c r="B78" s="133" t="s">
        <v>817</v>
      </c>
      <c r="C78" s="133" t="s">
        <v>59</v>
      </c>
      <c r="D78" s="133"/>
      <c r="E78" s="243">
        <v>23.35</v>
      </c>
      <c r="F78" s="510"/>
      <c r="G78" s="507"/>
      <c r="H78" s="2"/>
      <c r="I78" s="27" t="e">
        <f>#REF!</f>
        <v>#REF!</v>
      </c>
      <c r="J78" s="2"/>
      <c r="K78" s="2"/>
      <c r="L78" s="2"/>
      <c r="M78" s="2"/>
      <c r="N78" s="2"/>
      <c r="O78" s="2"/>
      <c r="P78" s="2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2"/>
      <c r="AT78" s="2"/>
      <c r="AU78" s="2"/>
      <c r="AV78" s="2"/>
      <c r="AW78" s="2"/>
      <c r="AX78" s="2"/>
      <c r="AY78" s="2"/>
      <c r="AZ78" s="2"/>
    </row>
    <row r="79" spans="1:52" s="4" customFormat="1" ht="25.5" customHeight="1">
      <c r="A79" s="181"/>
      <c r="B79" s="102" t="s">
        <v>727</v>
      </c>
      <c r="C79" s="102" t="s">
        <v>44</v>
      </c>
      <c r="D79" s="91">
        <v>15.18</v>
      </c>
      <c r="E79" s="116">
        <f>D79*E78</f>
        <v>354.45300000000003</v>
      </c>
      <c r="F79" s="518"/>
      <c r="G79" s="509"/>
      <c r="H79" s="2"/>
      <c r="I79" s="27" t="e">
        <f>#REF!</f>
        <v>#REF!</v>
      </c>
      <c r="J79" s="2"/>
      <c r="K79" s="2"/>
      <c r="L79" s="2"/>
      <c r="M79" s="2"/>
      <c r="N79" s="2"/>
      <c r="O79" s="2"/>
      <c r="P79" s="2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2"/>
      <c r="AT79" s="2"/>
      <c r="AU79" s="2"/>
      <c r="AV79" s="2"/>
      <c r="AW79" s="2"/>
      <c r="AX79" s="2"/>
      <c r="AY79" s="2"/>
      <c r="AZ79" s="2"/>
    </row>
    <row r="80" spans="1:52" s="4" customFormat="1" ht="20.25" customHeight="1">
      <c r="A80" s="181"/>
      <c r="B80" s="91" t="s">
        <v>728</v>
      </c>
      <c r="C80" s="91" t="s">
        <v>54</v>
      </c>
      <c r="D80" s="91">
        <v>1.645</v>
      </c>
      <c r="E80" s="86">
        <f>D80*E78</f>
        <v>38.41075</v>
      </c>
      <c r="F80" s="518"/>
      <c r="G80" s="509"/>
      <c r="H80" s="2"/>
      <c r="I80" s="27" t="e">
        <f>#REF!</f>
        <v>#REF!</v>
      </c>
      <c r="J80" s="2"/>
      <c r="K80" s="2"/>
      <c r="L80" s="2"/>
      <c r="M80" s="2"/>
      <c r="N80" s="2"/>
      <c r="O80" s="2"/>
      <c r="P80" s="2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2"/>
      <c r="AT80" s="2"/>
      <c r="AU80" s="2"/>
      <c r="AV80" s="2"/>
      <c r="AW80" s="2"/>
      <c r="AX80" s="2"/>
      <c r="AY80" s="2"/>
      <c r="AZ80" s="2"/>
    </row>
    <row r="81" spans="1:52" s="4" customFormat="1" ht="27.75" customHeight="1">
      <c r="A81" s="181"/>
      <c r="B81" s="91" t="s">
        <v>325</v>
      </c>
      <c r="C81" s="91" t="s">
        <v>52</v>
      </c>
      <c r="D81" s="91">
        <v>1.015</v>
      </c>
      <c r="E81" s="86">
        <f>E78*D81</f>
        <v>23.70025</v>
      </c>
      <c r="F81" s="518"/>
      <c r="G81" s="509"/>
      <c r="H81" s="2"/>
      <c r="I81" s="27" t="e">
        <f>#REF!</f>
        <v>#REF!</v>
      </c>
      <c r="J81" s="63" t="e">
        <f>#REF!</f>
        <v>#REF!</v>
      </c>
      <c r="K81" s="2"/>
      <c r="L81" s="2"/>
      <c r="M81" s="2"/>
      <c r="N81" s="2"/>
      <c r="O81" s="2"/>
      <c r="P81" s="2"/>
      <c r="Q81" s="74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2"/>
      <c r="AT81" s="2"/>
      <c r="AU81" s="2"/>
      <c r="AV81" s="2"/>
      <c r="AW81" s="2"/>
      <c r="AX81" s="2"/>
      <c r="AY81" s="2"/>
      <c r="AZ81" s="2"/>
    </row>
    <row r="82" spans="1:52" s="4" customFormat="1" ht="21.75" customHeight="1">
      <c r="A82" s="181"/>
      <c r="B82" s="91" t="s">
        <v>812</v>
      </c>
      <c r="C82" s="91" t="s">
        <v>52</v>
      </c>
      <c r="D82" s="91">
        <v>1.015</v>
      </c>
      <c r="E82" s="86">
        <f>D82*E78</f>
        <v>23.70025</v>
      </c>
      <c r="F82" s="515"/>
      <c r="G82" s="513"/>
      <c r="H82" s="2"/>
      <c r="I82" s="27" t="e">
        <f>#REF!</f>
        <v>#REF!</v>
      </c>
      <c r="J82" s="2"/>
      <c r="K82" s="2"/>
      <c r="L82" s="2"/>
      <c r="M82" s="2"/>
      <c r="N82" s="2"/>
      <c r="O82" s="2"/>
      <c r="P82" s="2"/>
      <c r="Q82" s="14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2"/>
      <c r="AT82" s="2"/>
      <c r="AU82" s="2"/>
      <c r="AV82" s="2"/>
      <c r="AW82" s="2"/>
      <c r="AX82" s="2"/>
      <c r="AY82" s="2"/>
      <c r="AZ82" s="2"/>
    </row>
    <row r="83" spans="1:52" s="4" customFormat="1" ht="24" customHeight="1">
      <c r="A83" s="181"/>
      <c r="B83" s="91" t="s">
        <v>307</v>
      </c>
      <c r="C83" s="91" t="s">
        <v>80</v>
      </c>
      <c r="D83" s="91">
        <v>2.64</v>
      </c>
      <c r="E83" s="86">
        <f>D83*E78</f>
        <v>61.644000000000005</v>
      </c>
      <c r="F83" s="518"/>
      <c r="G83" s="509"/>
      <c r="H83" s="2"/>
      <c r="I83" s="27" t="e">
        <f>#REF!</f>
        <v>#REF!</v>
      </c>
      <c r="J83" s="63" t="e">
        <f>#REF!</f>
        <v>#REF!</v>
      </c>
      <c r="K83" s="2"/>
      <c r="L83" s="2"/>
      <c r="M83" s="2"/>
      <c r="N83" s="2"/>
      <c r="O83" s="2"/>
      <c r="P83" s="2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2"/>
      <c r="AT83" s="2"/>
      <c r="AU83" s="2"/>
      <c r="AV83" s="2"/>
      <c r="AW83" s="2"/>
      <c r="AX83" s="2"/>
      <c r="AY83" s="2"/>
      <c r="AZ83" s="2"/>
    </row>
    <row r="84" spans="1:44" s="2" customFormat="1" ht="27.75" customHeight="1">
      <c r="A84" s="181"/>
      <c r="B84" s="91" t="s">
        <v>344</v>
      </c>
      <c r="C84" s="91" t="s">
        <v>52</v>
      </c>
      <c r="D84" s="91">
        <v>0.0598</v>
      </c>
      <c r="E84" s="86">
        <f>D84*E78</f>
        <v>1.39633</v>
      </c>
      <c r="F84" s="518"/>
      <c r="G84" s="509"/>
      <c r="I84" s="27" t="e">
        <f>#REF!</f>
        <v>#REF!</v>
      </c>
      <c r="Q84" s="14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</row>
    <row r="85" spans="1:52" s="72" customFormat="1" ht="25.5" customHeight="1">
      <c r="A85" s="181"/>
      <c r="B85" s="91" t="s">
        <v>276</v>
      </c>
      <c r="C85" s="91" t="s">
        <v>78</v>
      </c>
      <c r="D85" s="91">
        <v>0.0041</v>
      </c>
      <c r="E85" s="112">
        <f>E78*D85</f>
        <v>0.09573500000000001</v>
      </c>
      <c r="F85" s="518"/>
      <c r="G85" s="509"/>
      <c r="H85" s="2"/>
      <c r="I85" s="27" t="e">
        <f>#REF!</f>
        <v>#REF!</v>
      </c>
      <c r="J85" s="2"/>
      <c r="K85" s="2"/>
      <c r="L85" s="2"/>
      <c r="M85" s="2"/>
      <c r="N85" s="2"/>
      <c r="O85" s="2"/>
      <c r="P85" s="2"/>
      <c r="Q85" s="15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1"/>
      <c r="AT85" s="71"/>
      <c r="AU85" s="71"/>
      <c r="AV85" s="71"/>
      <c r="AW85" s="71"/>
      <c r="AX85" s="71"/>
      <c r="AY85" s="71"/>
      <c r="AZ85" s="71"/>
    </row>
    <row r="86" spans="1:52" s="5" customFormat="1" ht="27.75" customHeight="1">
      <c r="A86" s="181"/>
      <c r="B86" s="91" t="s">
        <v>56</v>
      </c>
      <c r="C86" s="91" t="s">
        <v>54</v>
      </c>
      <c r="D86" s="91">
        <v>0.49</v>
      </c>
      <c r="E86" s="86">
        <f>D86*E78</f>
        <v>11.441500000000001</v>
      </c>
      <c r="F86" s="518"/>
      <c r="G86" s="509"/>
      <c r="H86" s="2"/>
      <c r="I86" s="27" t="e">
        <f>#REF!</f>
        <v>#REF!</v>
      </c>
      <c r="J86" s="2"/>
      <c r="K86" s="2"/>
      <c r="L86" s="2"/>
      <c r="M86" s="2"/>
      <c r="N86" s="2"/>
      <c r="O86" s="2"/>
      <c r="P86" s="2"/>
      <c r="Q86" s="15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6"/>
      <c r="AT86" s="6"/>
      <c r="AU86" s="6"/>
      <c r="AV86" s="6"/>
      <c r="AW86" s="6"/>
      <c r="AX86" s="6"/>
      <c r="AY86" s="6"/>
      <c r="AZ86" s="6"/>
    </row>
    <row r="87" spans="1:52" s="4" customFormat="1" ht="30" customHeight="1">
      <c r="A87" s="234">
        <v>15</v>
      </c>
      <c r="B87" s="133" t="s">
        <v>725</v>
      </c>
      <c r="C87" s="133" t="s">
        <v>78</v>
      </c>
      <c r="D87" s="133"/>
      <c r="E87" s="401">
        <v>2.245</v>
      </c>
      <c r="F87" s="510"/>
      <c r="G87" s="511"/>
      <c r="H87" s="2"/>
      <c r="I87" s="27" t="e">
        <f>#REF!</f>
        <v>#REF!</v>
      </c>
      <c r="J87" s="2"/>
      <c r="K87" s="2"/>
      <c r="L87" s="2"/>
      <c r="M87" s="2"/>
      <c r="N87" s="2"/>
      <c r="O87" s="2"/>
      <c r="P87" s="2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2"/>
      <c r="AT87" s="2"/>
      <c r="AU87" s="2"/>
      <c r="AV87" s="2"/>
      <c r="AW87" s="2"/>
      <c r="AX87" s="2"/>
      <c r="AY87" s="2"/>
      <c r="AZ87" s="2"/>
    </row>
    <row r="88" spans="1:52" s="5" customFormat="1" ht="23.25" customHeight="1">
      <c r="A88" s="104"/>
      <c r="B88" s="91" t="s">
        <v>88</v>
      </c>
      <c r="C88" s="91" t="s">
        <v>78</v>
      </c>
      <c r="D88" s="91">
        <v>1.01</v>
      </c>
      <c r="E88" s="114">
        <f>E87*D88</f>
        <v>2.26745</v>
      </c>
      <c r="F88" s="518"/>
      <c r="G88" s="513"/>
      <c r="H88" s="2"/>
      <c r="I88" s="27" t="e">
        <f>#REF!</f>
        <v>#REF!</v>
      </c>
      <c r="J88" s="2"/>
      <c r="K88" s="2"/>
      <c r="L88" s="2"/>
      <c r="M88" s="2"/>
      <c r="N88" s="2"/>
      <c r="O88" s="2"/>
      <c r="P88" s="2"/>
      <c r="Q88" s="15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6"/>
      <c r="AT88" s="6"/>
      <c r="AU88" s="6"/>
      <c r="AV88" s="6"/>
      <c r="AW88" s="6"/>
      <c r="AX88" s="6"/>
      <c r="AY88" s="6"/>
      <c r="AZ88" s="6"/>
    </row>
    <row r="89" spans="1:52" s="4" customFormat="1" ht="18" customHeight="1">
      <c r="A89" s="104"/>
      <c r="B89" s="91" t="s">
        <v>278</v>
      </c>
      <c r="C89" s="91" t="s">
        <v>53</v>
      </c>
      <c r="D89" s="91">
        <v>3</v>
      </c>
      <c r="E89" s="114">
        <f>E87*D89</f>
        <v>6.735</v>
      </c>
      <c r="F89" s="518"/>
      <c r="G89" s="513"/>
      <c r="H89" s="2"/>
      <c r="I89" s="27" t="e">
        <f>#REF!</f>
        <v>#REF!</v>
      </c>
      <c r="J89" s="9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2"/>
      <c r="AT89" s="2"/>
      <c r="AU89" s="2"/>
      <c r="AV89" s="2"/>
      <c r="AW89" s="2"/>
      <c r="AX89" s="2"/>
      <c r="AY89" s="2"/>
      <c r="AZ89" s="2"/>
    </row>
    <row r="90" spans="1:52" s="4" customFormat="1" ht="16.5" customHeight="1">
      <c r="A90" s="104"/>
      <c r="B90" s="91" t="s">
        <v>89</v>
      </c>
      <c r="C90" s="91" t="s">
        <v>53</v>
      </c>
      <c r="D90" s="91">
        <v>4</v>
      </c>
      <c r="E90" s="114">
        <f>E87*D90</f>
        <v>8.98</v>
      </c>
      <c r="F90" s="518"/>
      <c r="G90" s="513"/>
      <c r="H90" s="2"/>
      <c r="I90" s="27" t="e">
        <f>#REF!</f>
        <v>#REF!</v>
      </c>
      <c r="J90" s="63" t="e">
        <f>#REF!</f>
        <v>#REF!</v>
      </c>
      <c r="K90" s="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2"/>
      <c r="AT90" s="2"/>
      <c r="AU90" s="2"/>
      <c r="AV90" s="2"/>
      <c r="AW90" s="2"/>
      <c r="AX90" s="2"/>
      <c r="AY90" s="2"/>
      <c r="AZ90" s="2"/>
    </row>
    <row r="91" spans="1:52" s="4" customFormat="1" ht="38.25" customHeight="1">
      <c r="A91" s="198" t="s">
        <v>91</v>
      </c>
      <c r="B91" s="133" t="s">
        <v>818</v>
      </c>
      <c r="C91" s="133" t="s">
        <v>52</v>
      </c>
      <c r="D91" s="133"/>
      <c r="E91" s="243">
        <v>137</v>
      </c>
      <c r="F91" s="510"/>
      <c r="G91" s="507"/>
      <c r="H91" s="2"/>
      <c r="I91" s="27" t="e">
        <f>#REF!</f>
        <v>#REF!</v>
      </c>
      <c r="J91" s="2"/>
      <c r="K91" s="2"/>
      <c r="L91" s="2"/>
      <c r="M91" s="2"/>
      <c r="N91" s="2"/>
      <c r="O91" s="2"/>
      <c r="P91" s="2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2"/>
      <c r="AT91" s="2"/>
      <c r="AU91" s="2"/>
      <c r="AV91" s="2"/>
      <c r="AW91" s="2"/>
      <c r="AX91" s="2"/>
      <c r="AY91" s="2"/>
      <c r="AZ91" s="2"/>
    </row>
    <row r="92" spans="1:52" s="4" customFormat="1" ht="16.5" customHeight="1">
      <c r="A92" s="181"/>
      <c r="B92" s="102" t="s">
        <v>33</v>
      </c>
      <c r="C92" s="102" t="s">
        <v>44</v>
      </c>
      <c r="D92" s="91">
        <f>1.15*14.7</f>
        <v>16.904999999999998</v>
      </c>
      <c r="E92" s="116">
        <f>D92*E91</f>
        <v>2315.9849999999997</v>
      </c>
      <c r="F92" s="518"/>
      <c r="G92" s="509"/>
      <c r="H92" s="2"/>
      <c r="I92" s="27" t="e">
        <f>#REF!</f>
        <v>#REF!</v>
      </c>
      <c r="J92" s="2"/>
      <c r="K92" s="2"/>
      <c r="L92" s="2"/>
      <c r="M92" s="2"/>
      <c r="N92" s="2"/>
      <c r="O92" s="2"/>
      <c r="P92" s="2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2"/>
      <c r="AT92" s="2"/>
      <c r="AU92" s="2"/>
      <c r="AV92" s="2"/>
      <c r="AW92" s="2"/>
      <c r="AX92" s="2"/>
      <c r="AY92" s="2"/>
      <c r="AZ92" s="2"/>
    </row>
    <row r="93" spans="1:52" s="4" customFormat="1" ht="25.5" customHeight="1">
      <c r="A93" s="181"/>
      <c r="B93" s="91" t="s">
        <v>34</v>
      </c>
      <c r="C93" s="91" t="s">
        <v>54</v>
      </c>
      <c r="D93" s="91">
        <f>1.15*1.21</f>
        <v>1.3915</v>
      </c>
      <c r="E93" s="86">
        <f>D93*E91</f>
        <v>190.6355</v>
      </c>
      <c r="F93" s="518"/>
      <c r="G93" s="509"/>
      <c r="H93" s="2"/>
      <c r="I93" s="27"/>
      <c r="J93" s="2"/>
      <c r="K93" s="2"/>
      <c r="L93" s="2"/>
      <c r="M93" s="2"/>
      <c r="N93" s="2"/>
      <c r="O93" s="2"/>
      <c r="P93" s="2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2"/>
      <c r="AT93" s="2"/>
      <c r="AU93" s="2"/>
      <c r="AV93" s="2"/>
      <c r="AW93" s="2"/>
      <c r="AX93" s="2"/>
      <c r="AY93" s="2"/>
      <c r="AZ93" s="2"/>
    </row>
    <row r="94" spans="1:52" s="4" customFormat="1" ht="21.75" customHeight="1">
      <c r="A94" s="181"/>
      <c r="B94" s="91" t="s">
        <v>325</v>
      </c>
      <c r="C94" s="91" t="s">
        <v>52</v>
      </c>
      <c r="D94" s="91">
        <v>1.015</v>
      </c>
      <c r="E94" s="86">
        <f>E91*D94</f>
        <v>139.05499999999998</v>
      </c>
      <c r="F94" s="518"/>
      <c r="G94" s="509"/>
      <c r="H94" s="2"/>
      <c r="I94" s="27"/>
      <c r="J94" s="2"/>
      <c r="K94" s="2"/>
      <c r="L94" s="2"/>
      <c r="M94" s="2"/>
      <c r="N94" s="2"/>
      <c r="O94" s="2"/>
      <c r="P94" s="2"/>
      <c r="Q94" s="74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2"/>
      <c r="AT94" s="2"/>
      <c r="AU94" s="2"/>
      <c r="AV94" s="2"/>
      <c r="AW94" s="2"/>
      <c r="AX94" s="2"/>
      <c r="AY94" s="2"/>
      <c r="AZ94" s="2"/>
    </row>
    <row r="95" spans="1:52" s="4" customFormat="1" ht="24" customHeight="1">
      <c r="A95" s="181"/>
      <c r="B95" s="91" t="s">
        <v>812</v>
      </c>
      <c r="C95" s="91" t="s">
        <v>52</v>
      </c>
      <c r="D95" s="91">
        <v>1.015</v>
      </c>
      <c r="E95" s="86">
        <f>D95*E91</f>
        <v>139.05499999999998</v>
      </c>
      <c r="F95" s="518"/>
      <c r="G95" s="513"/>
      <c r="H95" s="2"/>
      <c r="I95" s="27"/>
      <c r="J95" s="2"/>
      <c r="K95" s="2"/>
      <c r="L95" s="2"/>
      <c r="M95" s="2"/>
      <c r="N95" s="2"/>
      <c r="O95" s="2"/>
      <c r="P95" s="2"/>
      <c r="Q95" s="14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2"/>
      <c r="AT95" s="2"/>
      <c r="AU95" s="2"/>
      <c r="AV95" s="2"/>
      <c r="AW95" s="2"/>
      <c r="AX95" s="2"/>
      <c r="AY95" s="2"/>
      <c r="AZ95" s="2"/>
    </row>
    <row r="96" spans="1:52" s="4" customFormat="1" ht="21.75" customHeight="1">
      <c r="A96" s="181"/>
      <c r="B96" s="91" t="s">
        <v>307</v>
      </c>
      <c r="C96" s="91" t="s">
        <v>80</v>
      </c>
      <c r="D96" s="91">
        <v>2.46</v>
      </c>
      <c r="E96" s="86">
        <f>D96*E91</f>
        <v>337.02</v>
      </c>
      <c r="F96" s="518"/>
      <c r="G96" s="509"/>
      <c r="H96" s="2"/>
      <c r="I96" s="27"/>
      <c r="J96" s="2"/>
      <c r="K96" s="2"/>
      <c r="L96" s="2"/>
      <c r="M96" s="2"/>
      <c r="N96" s="2"/>
      <c r="O96" s="2"/>
      <c r="P96" s="2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2"/>
      <c r="AT96" s="2"/>
      <c r="AU96" s="2"/>
      <c r="AV96" s="2"/>
      <c r="AW96" s="2"/>
      <c r="AX96" s="2"/>
      <c r="AY96" s="2"/>
      <c r="AZ96" s="2"/>
    </row>
    <row r="97" spans="1:44" s="2" customFormat="1" ht="33" customHeight="1">
      <c r="A97" s="181"/>
      <c r="B97" s="91" t="s">
        <v>347</v>
      </c>
      <c r="C97" s="91" t="s">
        <v>52</v>
      </c>
      <c r="D97" s="91">
        <f>0.016+0.007</f>
        <v>0.023</v>
      </c>
      <c r="E97" s="86">
        <f>D97*E91</f>
        <v>3.151</v>
      </c>
      <c r="F97" s="518"/>
      <c r="G97" s="509"/>
      <c r="I97" s="27"/>
      <c r="Q97" s="14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52" s="72" customFormat="1" ht="16.5" customHeight="1">
      <c r="A98" s="181"/>
      <c r="B98" s="91" t="s">
        <v>276</v>
      </c>
      <c r="C98" s="91" t="s">
        <v>78</v>
      </c>
      <c r="D98" s="91">
        <v>0.0033</v>
      </c>
      <c r="E98" s="112">
        <f>E91*D98</f>
        <v>0.4521</v>
      </c>
      <c r="F98" s="518"/>
      <c r="G98" s="509"/>
      <c r="H98" s="2"/>
      <c r="I98" s="27"/>
      <c r="J98" s="2"/>
      <c r="K98" s="2"/>
      <c r="L98" s="2"/>
      <c r="M98" s="2"/>
      <c r="N98" s="2"/>
      <c r="O98" s="2"/>
      <c r="P98" s="2"/>
      <c r="Q98" s="15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1"/>
      <c r="AT98" s="71"/>
      <c r="AU98" s="71"/>
      <c r="AV98" s="71"/>
      <c r="AW98" s="71"/>
      <c r="AX98" s="71"/>
      <c r="AY98" s="71"/>
      <c r="AZ98" s="71"/>
    </row>
    <row r="99" spans="1:52" s="5" customFormat="1" ht="20.25" customHeight="1">
      <c r="A99" s="181"/>
      <c r="B99" s="91" t="s">
        <v>56</v>
      </c>
      <c r="C99" s="91" t="s">
        <v>54</v>
      </c>
      <c r="D99" s="91">
        <v>0.9</v>
      </c>
      <c r="E99" s="86">
        <f>D99*E91</f>
        <v>123.3</v>
      </c>
      <c r="F99" s="518"/>
      <c r="G99" s="509"/>
      <c r="H99" s="2"/>
      <c r="I99" s="27"/>
      <c r="J99" s="2"/>
      <c r="K99" s="2"/>
      <c r="L99" s="2"/>
      <c r="M99" s="2"/>
      <c r="N99" s="2"/>
      <c r="O99" s="2"/>
      <c r="P99" s="2"/>
      <c r="Q99" s="15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6"/>
      <c r="AT99" s="6"/>
      <c r="AU99" s="6"/>
      <c r="AV99" s="6"/>
      <c r="AW99" s="6"/>
      <c r="AX99" s="6"/>
      <c r="AY99" s="6"/>
      <c r="AZ99" s="6"/>
    </row>
    <row r="100" spans="1:52" s="4" customFormat="1" ht="26.25" customHeight="1">
      <c r="A100" s="234">
        <v>17</v>
      </c>
      <c r="B100" s="133" t="s">
        <v>725</v>
      </c>
      <c r="C100" s="133" t="s">
        <v>78</v>
      </c>
      <c r="D100" s="133"/>
      <c r="E100" s="401">
        <v>25.11</v>
      </c>
      <c r="F100" s="510"/>
      <c r="G100" s="511"/>
      <c r="H100" s="2"/>
      <c r="I100" s="27"/>
      <c r="J100" s="2"/>
      <c r="K100" s="2"/>
      <c r="L100" s="2"/>
      <c r="M100" s="2"/>
      <c r="N100" s="2"/>
      <c r="O100" s="2"/>
      <c r="P100" s="2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2"/>
      <c r="AT100" s="2"/>
      <c r="AU100" s="2"/>
      <c r="AV100" s="2"/>
      <c r="AW100" s="2"/>
      <c r="AX100" s="2"/>
      <c r="AY100" s="2"/>
      <c r="AZ100" s="2"/>
    </row>
    <row r="101" spans="1:52" s="5" customFormat="1" ht="23.25" customHeight="1">
      <c r="A101" s="104"/>
      <c r="B101" s="91" t="s">
        <v>88</v>
      </c>
      <c r="C101" s="91" t="s">
        <v>78</v>
      </c>
      <c r="D101" s="91">
        <v>1.01</v>
      </c>
      <c r="E101" s="114">
        <f>E100*D101</f>
        <v>25.3611</v>
      </c>
      <c r="F101" s="518"/>
      <c r="G101" s="513"/>
      <c r="H101" s="2"/>
      <c r="I101" s="27"/>
      <c r="J101" s="2"/>
      <c r="K101" s="2"/>
      <c r="L101" s="2"/>
      <c r="M101" s="2"/>
      <c r="N101" s="2"/>
      <c r="O101" s="2"/>
      <c r="P101" s="2"/>
      <c r="Q101" s="15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6"/>
      <c r="AT101" s="6"/>
      <c r="AU101" s="6"/>
      <c r="AV101" s="6"/>
      <c r="AW101" s="6"/>
      <c r="AX101" s="6"/>
      <c r="AY101" s="6"/>
      <c r="AZ101" s="6"/>
    </row>
    <row r="102" spans="1:52" s="4" customFormat="1" ht="23.25" customHeight="1">
      <c r="A102" s="104"/>
      <c r="B102" s="91" t="s">
        <v>278</v>
      </c>
      <c r="C102" s="91" t="s">
        <v>53</v>
      </c>
      <c r="D102" s="91">
        <v>3</v>
      </c>
      <c r="E102" s="114">
        <f>E100*D102</f>
        <v>75.33</v>
      </c>
      <c r="F102" s="518"/>
      <c r="G102" s="513"/>
      <c r="H102" s="2"/>
      <c r="I102" s="27"/>
      <c r="J102" s="2"/>
      <c r="K102" s="2"/>
      <c r="L102" s="2"/>
      <c r="M102" s="2"/>
      <c r="N102" s="2"/>
      <c r="O102" s="2"/>
      <c r="P102" s="2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2"/>
      <c r="AT102" s="2"/>
      <c r="AU102" s="2"/>
      <c r="AV102" s="2"/>
      <c r="AW102" s="2"/>
      <c r="AX102" s="2"/>
      <c r="AY102" s="2"/>
      <c r="AZ102" s="2"/>
    </row>
    <row r="103" spans="1:52" s="4" customFormat="1" ht="27" customHeight="1">
      <c r="A103" s="104"/>
      <c r="B103" s="91" t="s">
        <v>89</v>
      </c>
      <c r="C103" s="91" t="s">
        <v>53</v>
      </c>
      <c r="D103" s="91">
        <v>4</v>
      </c>
      <c r="E103" s="114">
        <f>E100*D103</f>
        <v>100.44</v>
      </c>
      <c r="F103" s="518"/>
      <c r="G103" s="513"/>
      <c r="H103" s="2"/>
      <c r="I103" s="27" t="e">
        <f>#REF!</f>
        <v>#REF!</v>
      </c>
      <c r="J103" s="2"/>
      <c r="K103" s="2"/>
      <c r="L103" s="2"/>
      <c r="M103" s="2"/>
      <c r="N103" s="2"/>
      <c r="O103" s="2"/>
      <c r="P103" s="2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2"/>
      <c r="AT103" s="2"/>
      <c r="AU103" s="2"/>
      <c r="AV103" s="2"/>
      <c r="AW103" s="2"/>
      <c r="AX103" s="2"/>
      <c r="AY103" s="2"/>
      <c r="AZ103" s="2"/>
    </row>
    <row r="104" spans="1:52" s="4" customFormat="1" ht="46.5" customHeight="1">
      <c r="A104" s="198" t="s">
        <v>160</v>
      </c>
      <c r="B104" s="133" t="s">
        <v>819</v>
      </c>
      <c r="C104" s="133" t="s">
        <v>59</v>
      </c>
      <c r="D104" s="133"/>
      <c r="E104" s="243">
        <v>215.6</v>
      </c>
      <c r="F104" s="510"/>
      <c r="G104" s="507"/>
      <c r="H104" s="55" t="e">
        <f>#REF!/#REF!</f>
        <v>#REF!</v>
      </c>
      <c r="I104" s="27" t="e">
        <f>#REF!</f>
        <v>#REF!</v>
      </c>
      <c r="J104" s="2"/>
      <c r="K104" s="2"/>
      <c r="L104" s="2"/>
      <c r="M104" s="2"/>
      <c r="N104" s="2"/>
      <c r="O104" s="2"/>
      <c r="P104" s="2"/>
      <c r="Q104" s="1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2"/>
      <c r="AT104" s="2"/>
      <c r="AU104" s="2"/>
      <c r="AV104" s="2"/>
      <c r="AW104" s="2"/>
      <c r="AX104" s="2"/>
      <c r="AY104" s="2"/>
      <c r="AZ104" s="2"/>
    </row>
    <row r="105" spans="1:52" s="4" customFormat="1" ht="21.75" customHeight="1">
      <c r="A105" s="181"/>
      <c r="B105" s="91" t="s">
        <v>309</v>
      </c>
      <c r="C105" s="102" t="s">
        <v>44</v>
      </c>
      <c r="D105" s="91">
        <f>1.15*8.4</f>
        <v>9.66</v>
      </c>
      <c r="E105" s="86">
        <f>D105*E104</f>
        <v>2082.696</v>
      </c>
      <c r="F105" s="515"/>
      <c r="G105" s="509"/>
      <c r="H105" s="2"/>
      <c r="I105" s="27" t="e">
        <f>#REF!</f>
        <v>#REF!</v>
      </c>
      <c r="J105" s="8" t="e">
        <f>#REF!</f>
        <v>#REF!</v>
      </c>
      <c r="K105" s="2"/>
      <c r="L105" s="2"/>
      <c r="M105" s="2"/>
      <c r="N105" s="2"/>
      <c r="O105" s="2"/>
      <c r="P105" s="2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2"/>
      <c r="AT105" s="2"/>
      <c r="AU105" s="2"/>
      <c r="AV105" s="2"/>
      <c r="AW105" s="2"/>
      <c r="AX105" s="2"/>
      <c r="AY105" s="2"/>
      <c r="AZ105" s="2"/>
    </row>
    <row r="106" spans="1:52" s="4" customFormat="1" ht="15.75" customHeight="1">
      <c r="A106" s="181"/>
      <c r="B106" s="91" t="s">
        <v>308</v>
      </c>
      <c r="C106" s="91" t="s">
        <v>54</v>
      </c>
      <c r="D106" s="91">
        <f>1.15*0.81</f>
        <v>0.9315</v>
      </c>
      <c r="E106" s="86">
        <f>D106*E104</f>
        <v>200.8314</v>
      </c>
      <c r="F106" s="518"/>
      <c r="G106" s="509"/>
      <c r="H106" s="2"/>
      <c r="I106" s="27" t="e">
        <f>#REF!</f>
        <v>#REF!</v>
      </c>
      <c r="J106" s="2"/>
      <c r="K106" s="2"/>
      <c r="L106" s="2"/>
      <c r="M106" s="2"/>
      <c r="N106" s="2"/>
      <c r="O106" s="2"/>
      <c r="P106" s="2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2"/>
      <c r="AT106" s="2"/>
      <c r="AU106" s="2"/>
      <c r="AV106" s="2"/>
      <c r="AW106" s="2"/>
      <c r="AX106" s="2"/>
      <c r="AY106" s="2"/>
      <c r="AZ106" s="2"/>
    </row>
    <row r="107" spans="1:17" s="4" customFormat="1" ht="21.75" customHeight="1">
      <c r="A107" s="181"/>
      <c r="B107" s="91" t="s">
        <v>325</v>
      </c>
      <c r="C107" s="91" t="s">
        <v>52</v>
      </c>
      <c r="D107" s="91">
        <v>1.015</v>
      </c>
      <c r="E107" s="86">
        <f>E104*D107</f>
        <v>218.83399999999997</v>
      </c>
      <c r="F107" s="518"/>
      <c r="G107" s="509"/>
      <c r="H107" s="2"/>
      <c r="I107" s="27" t="e">
        <f>#REF!</f>
        <v>#REF!</v>
      </c>
      <c r="J107" s="2"/>
      <c r="K107" s="2"/>
      <c r="L107" s="2"/>
      <c r="M107" s="2"/>
      <c r="N107" s="2"/>
      <c r="O107" s="2"/>
      <c r="P107" s="2"/>
      <c r="Q107" s="72"/>
    </row>
    <row r="108" spans="1:17" ht="15.75" customHeight="1">
      <c r="A108" s="181"/>
      <c r="B108" s="91" t="s">
        <v>812</v>
      </c>
      <c r="C108" s="91" t="s">
        <v>52</v>
      </c>
      <c r="D108" s="91">
        <v>1.015</v>
      </c>
      <c r="E108" s="86">
        <f>D108*E104</f>
        <v>218.83399999999997</v>
      </c>
      <c r="F108" s="518"/>
      <c r="G108" s="513"/>
      <c r="H108" s="2"/>
      <c r="I108" s="27" t="e">
        <f>#REF!</f>
        <v>#REF!</v>
      </c>
      <c r="J108" s="2"/>
      <c r="K108" s="2"/>
      <c r="L108" s="2"/>
      <c r="M108" s="2"/>
      <c r="N108" s="2"/>
      <c r="O108" s="2"/>
      <c r="P108" s="2"/>
      <c r="Q108" s="5"/>
    </row>
    <row r="109" spans="1:10" s="4" customFormat="1" ht="20.25" customHeight="1">
      <c r="A109" s="181"/>
      <c r="B109" s="91" t="s">
        <v>307</v>
      </c>
      <c r="C109" s="91" t="s">
        <v>80</v>
      </c>
      <c r="D109" s="91">
        <v>1.37</v>
      </c>
      <c r="E109" s="86">
        <f>D109*E104</f>
        <v>295.372</v>
      </c>
      <c r="F109" s="518"/>
      <c r="G109" s="509"/>
      <c r="H109" s="62"/>
      <c r="I109" s="27" t="e">
        <f>#REF!</f>
        <v>#REF!</v>
      </c>
      <c r="J109" s="8" t="e">
        <f>#REF!</f>
        <v>#REF!</v>
      </c>
    </row>
    <row r="110" spans="1:44" s="2" customFormat="1" ht="17.25" customHeight="1">
      <c r="A110" s="181"/>
      <c r="B110" s="91" t="s">
        <v>343</v>
      </c>
      <c r="C110" s="91" t="s">
        <v>52</v>
      </c>
      <c r="D110" s="91">
        <v>0.0084</v>
      </c>
      <c r="E110" s="86">
        <f>E104*D110</f>
        <v>1.8110399999999998</v>
      </c>
      <c r="F110" s="518"/>
      <c r="G110" s="509"/>
      <c r="H110" s="62"/>
      <c r="I110" s="27" t="e">
        <f>#REF!</f>
        <v>#REF!</v>
      </c>
      <c r="J110" s="4"/>
      <c r="K110" s="4"/>
      <c r="L110" s="4"/>
      <c r="M110" s="4"/>
      <c r="N110" s="4"/>
      <c r="O110" s="4"/>
      <c r="P110" s="4"/>
      <c r="Q110" s="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17" s="72" customFormat="1" ht="24.75" customHeight="1">
      <c r="A111" s="181"/>
      <c r="B111" s="91" t="s">
        <v>344</v>
      </c>
      <c r="C111" s="91" t="s">
        <v>52</v>
      </c>
      <c r="D111" s="91">
        <f>0.0026+0.0256</f>
        <v>0.028200000000000003</v>
      </c>
      <c r="E111" s="86">
        <f>E104*D111</f>
        <v>6.07992</v>
      </c>
      <c r="F111" s="518"/>
      <c r="G111" s="509"/>
      <c r="H111" s="62"/>
      <c r="I111" s="27" t="e">
        <f>#REF!</f>
        <v>#REF!</v>
      </c>
      <c r="J111" s="4"/>
      <c r="K111" s="4"/>
      <c r="L111" s="4"/>
      <c r="M111" s="4"/>
      <c r="N111" s="4"/>
      <c r="O111" s="4"/>
      <c r="P111" s="4"/>
      <c r="Q111" s="4"/>
    </row>
    <row r="112" spans="1:17" s="5" customFormat="1" ht="20.25" customHeight="1">
      <c r="A112" s="181"/>
      <c r="B112" s="91" t="s">
        <v>56</v>
      </c>
      <c r="C112" s="91" t="s">
        <v>54</v>
      </c>
      <c r="D112" s="91">
        <v>0.39</v>
      </c>
      <c r="E112" s="86">
        <f>D112*E104</f>
        <v>84.084</v>
      </c>
      <c r="F112" s="518"/>
      <c r="G112" s="509"/>
      <c r="H112" s="62"/>
      <c r="I112" s="27" t="e">
        <f>#REF!</f>
        <v>#REF!</v>
      </c>
      <c r="J112" s="4"/>
      <c r="K112" s="4"/>
      <c r="L112" s="4"/>
      <c r="M112" s="4"/>
      <c r="N112" s="4"/>
      <c r="O112" s="4"/>
      <c r="P112" s="4"/>
      <c r="Q112" s="15"/>
    </row>
    <row r="113" spans="1:17" s="4" customFormat="1" ht="24" customHeight="1">
      <c r="A113" s="234">
        <v>19</v>
      </c>
      <c r="B113" s="133" t="s">
        <v>725</v>
      </c>
      <c r="C113" s="133" t="s">
        <v>78</v>
      </c>
      <c r="D113" s="133"/>
      <c r="E113" s="401">
        <v>23.597</v>
      </c>
      <c r="F113" s="510"/>
      <c r="G113" s="511"/>
      <c r="H113" s="62"/>
      <c r="I113" s="27" t="e">
        <f>#REF!</f>
        <v>#REF!</v>
      </c>
      <c r="Q113" s="15"/>
    </row>
    <row r="114" spans="1:17" s="4" customFormat="1" ht="24" customHeight="1">
      <c r="A114" s="104"/>
      <c r="B114" s="91" t="s">
        <v>88</v>
      </c>
      <c r="C114" s="91" t="s">
        <v>78</v>
      </c>
      <c r="D114" s="91">
        <v>1.01</v>
      </c>
      <c r="E114" s="114">
        <f>E113*D114</f>
        <v>23.832970000000003</v>
      </c>
      <c r="F114" s="518"/>
      <c r="G114" s="513"/>
      <c r="H114" s="1"/>
      <c r="I114" s="27" t="e">
        <f>#REF!</f>
        <v>#REF!</v>
      </c>
      <c r="J114" s="53" t="e">
        <f>#REF!</f>
        <v>#REF!</v>
      </c>
      <c r="K114" s="1"/>
      <c r="L114" s="1"/>
      <c r="M114" s="1"/>
      <c r="N114" s="1"/>
      <c r="O114" s="1"/>
      <c r="P114" s="1"/>
      <c r="Q114" s="15"/>
    </row>
    <row r="115" spans="1:52" s="4" customFormat="1" ht="22.5" customHeight="1">
      <c r="A115" s="104"/>
      <c r="B115" s="91" t="s">
        <v>278</v>
      </c>
      <c r="C115" s="91" t="s">
        <v>53</v>
      </c>
      <c r="D115" s="91">
        <v>3</v>
      </c>
      <c r="E115" s="114">
        <f>E113*D115</f>
        <v>70.791</v>
      </c>
      <c r="F115" s="518"/>
      <c r="G115" s="513"/>
      <c r="I115" s="27" t="e">
        <f>#REF!</f>
        <v>#REF!</v>
      </c>
      <c r="Q115" s="2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2"/>
      <c r="AT115" s="2"/>
      <c r="AU115" s="2"/>
      <c r="AV115" s="2"/>
      <c r="AW115" s="2"/>
      <c r="AX115" s="2"/>
      <c r="AY115" s="2"/>
      <c r="AZ115" s="2"/>
    </row>
    <row r="116" spans="1:52" s="4" customFormat="1" ht="26.25" customHeight="1">
      <c r="A116" s="104"/>
      <c r="B116" s="91" t="s">
        <v>89</v>
      </c>
      <c r="C116" s="91" t="s">
        <v>53</v>
      </c>
      <c r="D116" s="91">
        <v>4</v>
      </c>
      <c r="E116" s="114">
        <f>E113*D116</f>
        <v>94.388</v>
      </c>
      <c r="F116" s="518"/>
      <c r="G116" s="513"/>
      <c r="H116" s="72"/>
      <c r="I116" s="27" t="e">
        <f>#REF!</f>
        <v>#REF!</v>
      </c>
      <c r="J116" s="72"/>
      <c r="K116" s="72"/>
      <c r="L116" s="72"/>
      <c r="M116" s="72"/>
      <c r="N116" s="72"/>
      <c r="O116" s="72"/>
      <c r="P116" s="72"/>
      <c r="Q116" s="2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2"/>
      <c r="AT116" s="2"/>
      <c r="AU116" s="2"/>
      <c r="AV116" s="2"/>
      <c r="AW116" s="2"/>
      <c r="AX116" s="2"/>
      <c r="AY116" s="2"/>
      <c r="AZ116" s="2"/>
    </row>
    <row r="117" spans="1:52" s="4" customFormat="1" ht="42.75" customHeight="1">
      <c r="A117" s="198" t="s">
        <v>243</v>
      </c>
      <c r="B117" s="133" t="s">
        <v>820</v>
      </c>
      <c r="C117" s="133" t="s">
        <v>59</v>
      </c>
      <c r="D117" s="133"/>
      <c r="E117" s="243">
        <v>16.65</v>
      </c>
      <c r="F117" s="510"/>
      <c r="G117" s="507"/>
      <c r="I117" s="27" t="e">
        <f>#REF!</f>
        <v>#REF!</v>
      </c>
      <c r="Q117" s="6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2"/>
      <c r="AT117" s="2"/>
      <c r="AU117" s="2"/>
      <c r="AV117" s="2"/>
      <c r="AW117" s="2"/>
      <c r="AX117" s="2"/>
      <c r="AY117" s="2"/>
      <c r="AZ117" s="2"/>
    </row>
    <row r="118" spans="1:52" s="4" customFormat="1" ht="20.25" customHeight="1">
      <c r="A118" s="181"/>
      <c r="B118" s="91" t="s">
        <v>309</v>
      </c>
      <c r="C118" s="102" t="s">
        <v>44</v>
      </c>
      <c r="D118" s="91">
        <f>1.15*8.4</f>
        <v>9.66</v>
      </c>
      <c r="E118" s="86">
        <f>D118*E117</f>
        <v>160.839</v>
      </c>
      <c r="F118" s="515"/>
      <c r="G118" s="509"/>
      <c r="I118" s="27" t="e">
        <f>#REF!</f>
        <v>#REF!</v>
      </c>
      <c r="Q118" s="2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2"/>
      <c r="AT118" s="2"/>
      <c r="AU118" s="2"/>
      <c r="AV118" s="2"/>
      <c r="AW118" s="2"/>
      <c r="AX118" s="2"/>
      <c r="AY118" s="2"/>
      <c r="AZ118" s="2"/>
    </row>
    <row r="119" spans="1:16" s="2" customFormat="1" ht="18.75" customHeight="1">
      <c r="A119" s="181"/>
      <c r="B119" s="91" t="s">
        <v>308</v>
      </c>
      <c r="C119" s="91" t="s">
        <v>54</v>
      </c>
      <c r="D119" s="91">
        <f>1.15*0.81</f>
        <v>0.9315</v>
      </c>
      <c r="E119" s="86">
        <f>D119*E117</f>
        <v>15.509474999999998</v>
      </c>
      <c r="F119" s="518"/>
      <c r="G119" s="509"/>
      <c r="H119" s="5"/>
      <c r="I119" s="27" t="e">
        <f>#REF!</f>
        <v>#REF!</v>
      </c>
      <c r="J119" s="5"/>
      <c r="K119" s="5"/>
      <c r="L119" s="5"/>
      <c r="M119" s="5"/>
      <c r="N119" s="5"/>
      <c r="O119" s="5"/>
      <c r="P119" s="5"/>
    </row>
    <row r="120" spans="1:16" s="2" customFormat="1" ht="25.5" customHeight="1">
      <c r="A120" s="181"/>
      <c r="B120" s="91" t="s">
        <v>325</v>
      </c>
      <c r="C120" s="91" t="s">
        <v>52</v>
      </c>
      <c r="D120" s="91">
        <v>1.015</v>
      </c>
      <c r="E120" s="86">
        <f>E117*D120</f>
        <v>16.899749999999997</v>
      </c>
      <c r="F120" s="518"/>
      <c r="G120" s="509"/>
      <c r="H120" s="4"/>
      <c r="I120" s="27" t="e">
        <f>#REF!</f>
        <v>#REF!</v>
      </c>
      <c r="J120" s="4"/>
      <c r="K120" s="4"/>
      <c r="L120" s="4"/>
      <c r="M120" s="4"/>
      <c r="N120" s="4"/>
      <c r="O120" s="4"/>
      <c r="P120" s="4"/>
    </row>
    <row r="121" spans="1:17" s="6" customFormat="1" ht="21" customHeight="1">
      <c r="A121" s="181"/>
      <c r="B121" s="91" t="s">
        <v>812</v>
      </c>
      <c r="C121" s="91" t="s">
        <v>52</v>
      </c>
      <c r="D121" s="91">
        <v>1.015</v>
      </c>
      <c r="E121" s="86">
        <f>D121*E117</f>
        <v>16.899749999999997</v>
      </c>
      <c r="F121" s="518"/>
      <c r="G121" s="513"/>
      <c r="H121" s="55" t="e">
        <f>#REF!/#REF!</f>
        <v>#REF!</v>
      </c>
      <c r="I121" s="27" t="e">
        <f>#REF!</f>
        <v>#REF!</v>
      </c>
      <c r="J121" s="63"/>
      <c r="K121" s="15"/>
      <c r="L121" s="15"/>
      <c r="M121" s="15"/>
      <c r="N121" s="15"/>
      <c r="O121" s="15"/>
      <c r="P121" s="15"/>
      <c r="Q121" s="2"/>
    </row>
    <row r="122" spans="1:16" s="2" customFormat="1" ht="24" customHeight="1">
      <c r="A122" s="181"/>
      <c r="B122" s="91" t="s">
        <v>307</v>
      </c>
      <c r="C122" s="91" t="s">
        <v>80</v>
      </c>
      <c r="D122" s="91">
        <v>1.37</v>
      </c>
      <c r="E122" s="86">
        <f>D122*E117</f>
        <v>22.8105</v>
      </c>
      <c r="F122" s="518"/>
      <c r="G122" s="509"/>
      <c r="I122" s="27" t="e">
        <f>#REF!</f>
        <v>#REF!</v>
      </c>
      <c r="J122" s="63"/>
      <c r="K122" s="15"/>
      <c r="L122" s="15"/>
      <c r="M122" s="15"/>
      <c r="N122" s="15"/>
      <c r="O122" s="15"/>
      <c r="P122" s="15"/>
    </row>
    <row r="123" spans="1:7" ht="27.75" customHeight="1">
      <c r="A123" s="181"/>
      <c r="B123" s="91" t="s">
        <v>343</v>
      </c>
      <c r="C123" s="91" t="s">
        <v>52</v>
      </c>
      <c r="D123" s="91">
        <v>0.0084</v>
      </c>
      <c r="E123" s="86">
        <f>E117*D123</f>
        <v>0.13985999999999998</v>
      </c>
      <c r="F123" s="518"/>
      <c r="G123" s="509"/>
    </row>
    <row r="124" spans="1:7" ht="28.5" customHeight="1">
      <c r="A124" s="181"/>
      <c r="B124" s="91" t="s">
        <v>344</v>
      </c>
      <c r="C124" s="91" t="s">
        <v>52</v>
      </c>
      <c r="D124" s="91">
        <f>0.0026+0.0256</f>
        <v>0.028200000000000003</v>
      </c>
      <c r="E124" s="86">
        <f>E117*D124</f>
        <v>0.46953</v>
      </c>
      <c r="F124" s="518"/>
      <c r="G124" s="509"/>
    </row>
    <row r="125" spans="1:7" ht="25.5" customHeight="1">
      <c r="A125" s="181"/>
      <c r="B125" s="91" t="s">
        <v>56</v>
      </c>
      <c r="C125" s="91" t="s">
        <v>54</v>
      </c>
      <c r="D125" s="91">
        <v>0.39</v>
      </c>
      <c r="E125" s="86">
        <f>D125*E117</f>
        <v>6.4935</v>
      </c>
      <c r="F125" s="518"/>
      <c r="G125" s="509"/>
    </row>
    <row r="126" spans="1:7" ht="23.25" customHeight="1">
      <c r="A126" s="234">
        <v>21</v>
      </c>
      <c r="B126" s="133" t="s">
        <v>725</v>
      </c>
      <c r="C126" s="133" t="s">
        <v>78</v>
      </c>
      <c r="D126" s="133"/>
      <c r="E126" s="401">
        <v>1.698</v>
      </c>
      <c r="F126" s="510"/>
      <c r="G126" s="511"/>
    </row>
    <row r="127" spans="1:7" ht="27" customHeight="1">
      <c r="A127" s="104"/>
      <c r="B127" s="91" t="s">
        <v>88</v>
      </c>
      <c r="C127" s="91" t="s">
        <v>78</v>
      </c>
      <c r="D127" s="91">
        <v>1.01</v>
      </c>
      <c r="E127" s="114">
        <f>E126*D127</f>
        <v>1.71498</v>
      </c>
      <c r="F127" s="518"/>
      <c r="G127" s="513"/>
    </row>
    <row r="128" spans="1:7" ht="17.25" customHeight="1">
      <c r="A128" s="104"/>
      <c r="B128" s="91" t="s">
        <v>278</v>
      </c>
      <c r="C128" s="91" t="s">
        <v>53</v>
      </c>
      <c r="D128" s="91">
        <v>3</v>
      </c>
      <c r="E128" s="114">
        <f>E126*D128</f>
        <v>5.093999999999999</v>
      </c>
      <c r="F128" s="518"/>
      <c r="G128" s="513"/>
    </row>
    <row r="129" spans="1:7" ht="24" customHeight="1">
      <c r="A129" s="104"/>
      <c r="B129" s="91" t="s">
        <v>89</v>
      </c>
      <c r="C129" s="91" t="s">
        <v>53</v>
      </c>
      <c r="D129" s="91">
        <v>4</v>
      </c>
      <c r="E129" s="114">
        <f>E126*D129</f>
        <v>6.792</v>
      </c>
      <c r="F129" s="518"/>
      <c r="G129" s="513"/>
    </row>
    <row r="130" spans="1:7" ht="46.5" customHeight="1">
      <c r="A130" s="198" t="s">
        <v>92</v>
      </c>
      <c r="B130" s="133" t="s">
        <v>821</v>
      </c>
      <c r="C130" s="133" t="s">
        <v>59</v>
      </c>
      <c r="D130" s="133"/>
      <c r="E130" s="243">
        <v>6.8</v>
      </c>
      <c r="F130" s="510"/>
      <c r="G130" s="507"/>
    </row>
    <row r="131" spans="1:7" ht="20.25" customHeight="1">
      <c r="A131" s="181"/>
      <c r="B131" s="102" t="s">
        <v>329</v>
      </c>
      <c r="C131" s="102" t="s">
        <v>44</v>
      </c>
      <c r="D131" s="91">
        <f>1.15*13.3</f>
        <v>15.295</v>
      </c>
      <c r="E131" s="116">
        <f>D131*E130</f>
        <v>104.006</v>
      </c>
      <c r="F131" s="518"/>
      <c r="G131" s="509"/>
    </row>
    <row r="132" spans="1:7" ht="26.25" customHeight="1">
      <c r="A132" s="181"/>
      <c r="B132" s="91" t="s">
        <v>330</v>
      </c>
      <c r="C132" s="91" t="s">
        <v>54</v>
      </c>
      <c r="D132" s="91">
        <f>1.15*3.36</f>
        <v>3.8639999999999994</v>
      </c>
      <c r="E132" s="86">
        <f>D132*E130</f>
        <v>26.275199999999995</v>
      </c>
      <c r="F132" s="518"/>
      <c r="G132" s="509"/>
    </row>
    <row r="133" spans="1:7" ht="24" customHeight="1">
      <c r="A133" s="181"/>
      <c r="B133" s="91" t="s">
        <v>325</v>
      </c>
      <c r="C133" s="91" t="s">
        <v>52</v>
      </c>
      <c r="D133" s="91">
        <v>1.015</v>
      </c>
      <c r="E133" s="86">
        <f>E130*D133</f>
        <v>6.901999999999999</v>
      </c>
      <c r="F133" s="518"/>
      <c r="G133" s="509"/>
    </row>
    <row r="134" spans="1:7" ht="23.25" customHeight="1">
      <c r="A134" s="181"/>
      <c r="B134" s="91" t="s">
        <v>812</v>
      </c>
      <c r="C134" s="91" t="s">
        <v>52</v>
      </c>
      <c r="D134" s="91">
        <v>1.015</v>
      </c>
      <c r="E134" s="86">
        <f>D134*E130</f>
        <v>6.901999999999999</v>
      </c>
      <c r="F134" s="515"/>
      <c r="G134" s="513"/>
    </row>
    <row r="135" spans="1:7" ht="28.5" customHeight="1">
      <c r="A135" s="181"/>
      <c r="B135" s="91" t="s">
        <v>307</v>
      </c>
      <c r="C135" s="91" t="s">
        <v>80</v>
      </c>
      <c r="D135" s="91">
        <v>2.42</v>
      </c>
      <c r="E135" s="86">
        <f>D135*E130</f>
        <v>16.456</v>
      </c>
      <c r="F135" s="518"/>
      <c r="G135" s="509"/>
    </row>
    <row r="136" spans="1:7" ht="21.75" customHeight="1">
      <c r="A136" s="181"/>
      <c r="B136" s="91" t="s">
        <v>344</v>
      </c>
      <c r="C136" s="91" t="s">
        <v>52</v>
      </c>
      <c r="D136" s="91">
        <f>0.0581+0.0067</f>
        <v>0.0648</v>
      </c>
      <c r="E136" s="86">
        <f>D136*E130</f>
        <v>0.44064</v>
      </c>
      <c r="F136" s="518"/>
      <c r="G136" s="509"/>
    </row>
    <row r="137" spans="1:7" ht="21" customHeight="1">
      <c r="A137" s="181"/>
      <c r="B137" s="91" t="s">
        <v>276</v>
      </c>
      <c r="C137" s="91" t="s">
        <v>78</v>
      </c>
      <c r="D137" s="91">
        <v>0.0015</v>
      </c>
      <c r="E137" s="112">
        <f>E130*D137</f>
        <v>0.0102</v>
      </c>
      <c r="F137" s="518"/>
      <c r="G137" s="509"/>
    </row>
    <row r="138" spans="1:7" ht="30.75" customHeight="1">
      <c r="A138" s="181"/>
      <c r="B138" s="91" t="s">
        <v>56</v>
      </c>
      <c r="C138" s="91" t="s">
        <v>54</v>
      </c>
      <c r="D138" s="91">
        <v>0.6</v>
      </c>
      <c r="E138" s="86">
        <f>D138*E130</f>
        <v>4.08</v>
      </c>
      <c r="F138" s="518"/>
      <c r="G138" s="509"/>
    </row>
    <row r="139" spans="1:7" ht="30" customHeight="1">
      <c r="A139" s="234">
        <v>23</v>
      </c>
      <c r="B139" s="133" t="s">
        <v>725</v>
      </c>
      <c r="C139" s="133" t="s">
        <v>78</v>
      </c>
      <c r="D139" s="133"/>
      <c r="E139" s="401">
        <v>0.674</v>
      </c>
      <c r="F139" s="510"/>
      <c r="G139" s="511"/>
    </row>
    <row r="140" spans="1:7" ht="24.75" customHeight="1">
      <c r="A140" s="104"/>
      <c r="B140" s="91" t="s">
        <v>88</v>
      </c>
      <c r="C140" s="91" t="s">
        <v>78</v>
      </c>
      <c r="D140" s="91">
        <v>1.01</v>
      </c>
      <c r="E140" s="114">
        <f>E139*D140</f>
        <v>0.68074</v>
      </c>
      <c r="F140" s="518"/>
      <c r="G140" s="513"/>
    </row>
    <row r="141" spans="1:7" ht="27" customHeight="1">
      <c r="A141" s="104"/>
      <c r="B141" s="91" t="s">
        <v>278</v>
      </c>
      <c r="C141" s="91" t="s">
        <v>53</v>
      </c>
      <c r="D141" s="91">
        <v>3</v>
      </c>
      <c r="E141" s="114">
        <f>E139*D141</f>
        <v>2.0220000000000002</v>
      </c>
      <c r="F141" s="518"/>
      <c r="G141" s="513"/>
    </row>
    <row r="142" spans="1:7" ht="25.5" customHeight="1">
      <c r="A142" s="104"/>
      <c r="B142" s="91" t="s">
        <v>89</v>
      </c>
      <c r="C142" s="91" t="s">
        <v>53</v>
      </c>
      <c r="D142" s="91">
        <v>4</v>
      </c>
      <c r="E142" s="114">
        <f>E139*D142</f>
        <v>2.696</v>
      </c>
      <c r="F142" s="518"/>
      <c r="G142" s="513"/>
    </row>
    <row r="143" spans="1:7" ht="39.75" customHeight="1">
      <c r="A143" s="198" t="s">
        <v>125</v>
      </c>
      <c r="B143" s="133" t="s">
        <v>730</v>
      </c>
      <c r="C143" s="133" t="s">
        <v>78</v>
      </c>
      <c r="D143" s="199"/>
      <c r="E143" s="402">
        <v>0.11</v>
      </c>
      <c r="F143" s="506"/>
      <c r="G143" s="507"/>
    </row>
    <row r="144" spans="1:7" ht="23.25" customHeight="1">
      <c r="A144" s="181"/>
      <c r="B144" s="91" t="s">
        <v>35</v>
      </c>
      <c r="C144" s="91" t="s">
        <v>44</v>
      </c>
      <c r="D144" s="113">
        <f>1.15*34.4</f>
        <v>39.559999999999995</v>
      </c>
      <c r="E144" s="183">
        <f>D144*E143</f>
        <v>4.3515999999999995</v>
      </c>
      <c r="F144" s="519"/>
      <c r="G144" s="509"/>
    </row>
    <row r="145" spans="1:7" ht="27" customHeight="1">
      <c r="A145" s="181"/>
      <c r="B145" s="91" t="s">
        <v>36</v>
      </c>
      <c r="C145" s="91" t="s">
        <v>54</v>
      </c>
      <c r="D145" s="113">
        <f>1.15*1.4</f>
        <v>1.6099999999999999</v>
      </c>
      <c r="E145" s="183">
        <f>E143*D145</f>
        <v>0.17709999999999998</v>
      </c>
      <c r="F145" s="519"/>
      <c r="G145" s="509"/>
    </row>
    <row r="146" spans="1:7" ht="28.5" customHeight="1">
      <c r="A146" s="181"/>
      <c r="B146" s="91" t="s">
        <v>658</v>
      </c>
      <c r="C146" s="91" t="s">
        <v>78</v>
      </c>
      <c r="D146" s="113">
        <v>1</v>
      </c>
      <c r="E146" s="183">
        <f>E143*D146</f>
        <v>0.11</v>
      </c>
      <c r="F146" s="519"/>
      <c r="G146" s="509"/>
    </row>
    <row r="147" spans="1:7" ht="20.25" customHeight="1">
      <c r="A147" s="181"/>
      <c r="B147" s="91" t="s">
        <v>56</v>
      </c>
      <c r="C147" s="91" t="s">
        <v>54</v>
      </c>
      <c r="D147" s="113">
        <v>0.3</v>
      </c>
      <c r="E147" s="183">
        <f>D147*E143</f>
        <v>0.033</v>
      </c>
      <c r="F147" s="519"/>
      <c r="G147" s="509"/>
    </row>
    <row r="148" spans="1:7" ht="45.75" customHeight="1">
      <c r="A148" s="198" t="s">
        <v>246</v>
      </c>
      <c r="B148" s="133" t="s">
        <v>731</v>
      </c>
      <c r="C148" s="133" t="s">
        <v>78</v>
      </c>
      <c r="D148" s="133"/>
      <c r="E148" s="402">
        <v>3.365</v>
      </c>
      <c r="F148" s="520"/>
      <c r="G148" s="521"/>
    </row>
    <row r="149" spans="1:7" ht="20.25" customHeight="1">
      <c r="A149" s="104"/>
      <c r="B149" s="91" t="s">
        <v>660</v>
      </c>
      <c r="C149" s="91" t="s">
        <v>44</v>
      </c>
      <c r="D149" s="91">
        <f>1.15*18.3</f>
        <v>21.044999999999998</v>
      </c>
      <c r="E149" s="86">
        <f>D149*E148</f>
        <v>70.816425</v>
      </c>
      <c r="F149" s="518"/>
      <c r="G149" s="513"/>
    </row>
    <row r="150" spans="1:7" ht="19.5" customHeight="1">
      <c r="A150" s="104"/>
      <c r="B150" s="91" t="s">
        <v>742</v>
      </c>
      <c r="C150" s="87" t="s">
        <v>62</v>
      </c>
      <c r="D150" s="91">
        <f>1.15*(1.02+0.31)</f>
        <v>1.5294999999999999</v>
      </c>
      <c r="E150" s="86">
        <f>E148*D150</f>
        <v>5.1467675</v>
      </c>
      <c r="F150" s="518"/>
      <c r="G150" s="513"/>
    </row>
    <row r="151" spans="1:7" ht="17.25" customHeight="1">
      <c r="A151" s="104"/>
      <c r="B151" s="91" t="s">
        <v>661</v>
      </c>
      <c r="C151" s="91" t="s">
        <v>54</v>
      </c>
      <c r="D151" s="91">
        <f>1.15*4.31</f>
        <v>4.956499999999999</v>
      </c>
      <c r="E151" s="86">
        <f>D151*E148</f>
        <v>16.6786225</v>
      </c>
      <c r="F151" s="518"/>
      <c r="G151" s="513"/>
    </row>
    <row r="152" spans="1:7" ht="18.75" customHeight="1">
      <c r="A152" s="104"/>
      <c r="B152" s="91" t="s">
        <v>662</v>
      </c>
      <c r="C152" s="91" t="s">
        <v>78</v>
      </c>
      <c r="D152" s="91">
        <v>1</v>
      </c>
      <c r="E152" s="114">
        <f>D152*E148</f>
        <v>3.365</v>
      </c>
      <c r="F152" s="522"/>
      <c r="G152" s="513"/>
    </row>
    <row r="153" spans="1:7" ht="22.5" customHeight="1">
      <c r="A153" s="104"/>
      <c r="B153" s="91" t="s">
        <v>663</v>
      </c>
      <c r="C153" s="91" t="s">
        <v>94</v>
      </c>
      <c r="D153" s="91">
        <v>1</v>
      </c>
      <c r="E153" s="121">
        <f>E148*D153</f>
        <v>3.365</v>
      </c>
      <c r="F153" s="518"/>
      <c r="G153" s="513"/>
    </row>
    <row r="154" spans="1:7" ht="27" customHeight="1">
      <c r="A154" s="104"/>
      <c r="B154" s="91" t="s">
        <v>276</v>
      </c>
      <c r="C154" s="91" t="s">
        <v>94</v>
      </c>
      <c r="D154" s="91">
        <v>3</v>
      </c>
      <c r="E154" s="86">
        <f>E148*D154</f>
        <v>10.095</v>
      </c>
      <c r="F154" s="518"/>
      <c r="G154" s="513"/>
    </row>
    <row r="155" spans="1:7" ht="26.25" customHeight="1">
      <c r="A155" s="104"/>
      <c r="B155" s="91" t="s">
        <v>56</v>
      </c>
      <c r="C155" s="91" t="s">
        <v>54</v>
      </c>
      <c r="D155" s="91">
        <v>2.78</v>
      </c>
      <c r="E155" s="86">
        <f>E148*D155</f>
        <v>9.3547</v>
      </c>
      <c r="F155" s="518"/>
      <c r="G155" s="513"/>
    </row>
    <row r="156" spans="1:17" ht="64.5" customHeight="1">
      <c r="A156" s="198" t="s">
        <v>768</v>
      </c>
      <c r="B156" s="133" t="s">
        <v>736</v>
      </c>
      <c r="C156" s="133" t="s">
        <v>78</v>
      </c>
      <c r="D156" s="133"/>
      <c r="E156" s="402">
        <v>0.95</v>
      </c>
      <c r="F156" s="520"/>
      <c r="G156" s="521"/>
      <c r="Q156" s="1"/>
    </row>
    <row r="157" spans="1:7" ht="26.25" customHeight="1">
      <c r="A157" s="104"/>
      <c r="B157" s="91" t="s">
        <v>617</v>
      </c>
      <c r="C157" s="91" t="s">
        <v>78</v>
      </c>
      <c r="D157" s="91">
        <v>1</v>
      </c>
      <c r="E157" s="86">
        <f>D157*E156</f>
        <v>0.95</v>
      </c>
      <c r="F157" s="518"/>
      <c r="G157" s="513"/>
    </row>
    <row r="158" spans="1:7" ht="24.75" customHeight="1">
      <c r="A158" s="104"/>
      <c r="B158" s="91" t="s">
        <v>742</v>
      </c>
      <c r="C158" s="87" t="s">
        <v>62</v>
      </c>
      <c r="D158" s="91">
        <v>1.25</v>
      </c>
      <c r="E158" s="86">
        <f>E156*D158</f>
        <v>1.1875</v>
      </c>
      <c r="F158" s="518"/>
      <c r="G158" s="513"/>
    </row>
    <row r="159" spans="1:7" ht="24.75" customHeight="1">
      <c r="A159" s="104"/>
      <c r="B159" s="91" t="s">
        <v>737</v>
      </c>
      <c r="C159" s="91" t="s">
        <v>54</v>
      </c>
      <c r="D159" s="91">
        <v>1.207</v>
      </c>
      <c r="E159" s="86">
        <f>D159*E156</f>
        <v>1.14665</v>
      </c>
      <c r="F159" s="518"/>
      <c r="G159" s="513"/>
    </row>
    <row r="160" spans="1:7" ht="32.25" customHeight="1">
      <c r="A160" s="104"/>
      <c r="B160" s="91" t="s">
        <v>735</v>
      </c>
      <c r="C160" s="91" t="s">
        <v>78</v>
      </c>
      <c r="D160" s="91">
        <v>1.03</v>
      </c>
      <c r="E160" s="114">
        <f>D160*E156</f>
        <v>0.9784999999999999</v>
      </c>
      <c r="F160" s="522"/>
      <c r="G160" s="513"/>
    </row>
    <row r="161" spans="1:7" ht="30" customHeight="1">
      <c r="A161" s="104"/>
      <c r="B161" s="91" t="s">
        <v>663</v>
      </c>
      <c r="C161" s="91" t="s">
        <v>94</v>
      </c>
      <c r="D161" s="91">
        <v>1</v>
      </c>
      <c r="E161" s="121">
        <f>E156*D161</f>
        <v>0.95</v>
      </c>
      <c r="F161" s="518"/>
      <c r="G161" s="513"/>
    </row>
    <row r="162" spans="1:7" ht="24" customHeight="1">
      <c r="A162" s="104"/>
      <c r="B162" s="91" t="s">
        <v>276</v>
      </c>
      <c r="C162" s="91" t="s">
        <v>94</v>
      </c>
      <c r="D162" s="91">
        <v>3</v>
      </c>
      <c r="E162" s="86">
        <f>E156*D162</f>
        <v>2.8499999999999996</v>
      </c>
      <c r="F162" s="518"/>
      <c r="G162" s="513"/>
    </row>
    <row r="163" spans="1:7" ht="20.25" customHeight="1">
      <c r="A163" s="104"/>
      <c r="B163" s="91" t="s">
        <v>56</v>
      </c>
      <c r="C163" s="91" t="s">
        <v>54</v>
      </c>
      <c r="D163" s="91">
        <v>2.78</v>
      </c>
      <c r="E163" s="86">
        <f>E156*D163</f>
        <v>2.6409999999999996</v>
      </c>
      <c r="F163" s="518"/>
      <c r="G163" s="513"/>
    </row>
    <row r="164" spans="1:7" ht="45" customHeight="1">
      <c r="A164" s="198" t="s">
        <v>247</v>
      </c>
      <c r="B164" s="133" t="s">
        <v>732</v>
      </c>
      <c r="C164" s="133" t="s">
        <v>78</v>
      </c>
      <c r="D164" s="133"/>
      <c r="E164" s="401">
        <v>3.467</v>
      </c>
      <c r="F164" s="520"/>
      <c r="G164" s="521"/>
    </row>
    <row r="165" spans="1:7" ht="27" customHeight="1">
      <c r="A165" s="104"/>
      <c r="B165" s="91" t="s">
        <v>58</v>
      </c>
      <c r="C165" s="91" t="s">
        <v>78</v>
      </c>
      <c r="D165" s="91">
        <v>1</v>
      </c>
      <c r="E165" s="114">
        <f>D165*E164</f>
        <v>3.467</v>
      </c>
      <c r="F165" s="518"/>
      <c r="G165" s="513"/>
    </row>
    <row r="166" spans="1:7" ht="23.25" customHeight="1">
      <c r="A166" s="104"/>
      <c r="B166" s="91" t="s">
        <v>742</v>
      </c>
      <c r="C166" s="87" t="s">
        <v>62</v>
      </c>
      <c r="D166" s="91">
        <f>1.15*(0.74+0.89)</f>
        <v>1.8744999999999998</v>
      </c>
      <c r="E166" s="86">
        <f>E164*D166</f>
        <v>6.498891499999999</v>
      </c>
      <c r="F166" s="518"/>
      <c r="G166" s="513"/>
    </row>
    <row r="167" spans="1:7" ht="25.5" customHeight="1">
      <c r="A167" s="104"/>
      <c r="B167" s="91" t="s">
        <v>664</v>
      </c>
      <c r="C167" s="91" t="s">
        <v>54</v>
      </c>
      <c r="D167" s="91">
        <f>1.15*2.26</f>
        <v>2.5989999999999998</v>
      </c>
      <c r="E167" s="86">
        <f>D167*E164</f>
        <v>9.010733</v>
      </c>
      <c r="F167" s="518"/>
      <c r="G167" s="513"/>
    </row>
    <row r="168" spans="1:7" ht="20.25" customHeight="1">
      <c r="A168" s="104"/>
      <c r="B168" s="91" t="s">
        <v>733</v>
      </c>
      <c r="C168" s="91" t="s">
        <v>78</v>
      </c>
      <c r="D168" s="91">
        <v>1.03</v>
      </c>
      <c r="E168" s="114">
        <v>3.512</v>
      </c>
      <c r="F168" s="522"/>
      <c r="G168" s="513"/>
    </row>
    <row r="169" spans="1:7" ht="25.5" customHeight="1">
      <c r="A169" s="104"/>
      <c r="B169" s="91" t="s">
        <v>734</v>
      </c>
      <c r="C169" s="91" t="s">
        <v>78</v>
      </c>
      <c r="D169" s="91">
        <v>1.03</v>
      </c>
      <c r="E169" s="114">
        <v>0.059</v>
      </c>
      <c r="F169" s="522"/>
      <c r="G169" s="513"/>
    </row>
    <row r="170" spans="1:7" ht="21" customHeight="1">
      <c r="A170" s="104"/>
      <c r="B170" s="91" t="s">
        <v>663</v>
      </c>
      <c r="C170" s="91" t="s">
        <v>94</v>
      </c>
      <c r="D170" s="91">
        <v>0.1</v>
      </c>
      <c r="E170" s="121">
        <f>E164*D170</f>
        <v>0.3467</v>
      </c>
      <c r="F170" s="518"/>
      <c r="G170" s="513"/>
    </row>
    <row r="171" spans="1:7" ht="21" customHeight="1">
      <c r="A171" s="104"/>
      <c r="B171" s="91" t="s">
        <v>276</v>
      </c>
      <c r="C171" s="91" t="s">
        <v>94</v>
      </c>
      <c r="D171" s="91">
        <v>2.5</v>
      </c>
      <c r="E171" s="86">
        <f>E164*D171</f>
        <v>8.6675</v>
      </c>
      <c r="F171" s="518"/>
      <c r="G171" s="513"/>
    </row>
    <row r="172" spans="1:7" ht="18.75" customHeight="1">
      <c r="A172" s="104"/>
      <c r="B172" s="91" t="s">
        <v>56</v>
      </c>
      <c r="C172" s="91" t="s">
        <v>54</v>
      </c>
      <c r="D172" s="91">
        <v>2.78</v>
      </c>
      <c r="E172" s="86">
        <f>E164*D172</f>
        <v>9.638259999999999</v>
      </c>
      <c r="F172" s="518"/>
      <c r="G172" s="513"/>
    </row>
    <row r="173" spans="1:7" ht="64.5" customHeight="1">
      <c r="A173" s="198" t="s">
        <v>430</v>
      </c>
      <c r="B173" s="133" t="s">
        <v>741</v>
      </c>
      <c r="C173" s="133" t="s">
        <v>74</v>
      </c>
      <c r="D173" s="133"/>
      <c r="E173" s="399">
        <v>485</v>
      </c>
      <c r="F173" s="510"/>
      <c r="G173" s="511"/>
    </row>
    <row r="174" spans="1:7" ht="17.25" customHeight="1">
      <c r="A174" s="181"/>
      <c r="B174" s="91" t="s">
        <v>647</v>
      </c>
      <c r="C174" s="91" t="s">
        <v>44</v>
      </c>
      <c r="D174" s="91">
        <f>1.15*0.68</f>
        <v>0.782</v>
      </c>
      <c r="E174" s="114">
        <f>D174*E173</f>
        <v>379.27000000000004</v>
      </c>
      <c r="F174" s="518"/>
      <c r="G174" s="513"/>
    </row>
    <row r="175" spans="1:7" ht="21.75" customHeight="1">
      <c r="A175" s="181"/>
      <c r="B175" s="91" t="s">
        <v>127</v>
      </c>
      <c r="C175" s="91" t="s">
        <v>54</v>
      </c>
      <c r="D175" s="91">
        <f>1.15*0.0003</f>
        <v>0.00034499999999999993</v>
      </c>
      <c r="E175" s="114">
        <f>D175*E173</f>
        <v>0.16732499999999997</v>
      </c>
      <c r="F175" s="518"/>
      <c r="G175" s="513"/>
    </row>
    <row r="176" spans="1:7" ht="22.5" customHeight="1">
      <c r="A176" s="181"/>
      <c r="B176" s="91" t="s">
        <v>740</v>
      </c>
      <c r="C176" s="91" t="s">
        <v>94</v>
      </c>
      <c r="D176" s="91">
        <v>0.24600000000000002</v>
      </c>
      <c r="E176" s="114">
        <f>D176*E173</f>
        <v>119.31000000000002</v>
      </c>
      <c r="F176" s="518"/>
      <c r="G176" s="513"/>
    </row>
    <row r="177" spans="1:7" ht="22.5" customHeight="1">
      <c r="A177" s="181"/>
      <c r="B177" s="91" t="s">
        <v>129</v>
      </c>
      <c r="C177" s="91" t="s">
        <v>94</v>
      </c>
      <c r="D177" s="91">
        <v>0.027000000000000003</v>
      </c>
      <c r="E177" s="114">
        <f>D177*E173</f>
        <v>13.095000000000002</v>
      </c>
      <c r="F177" s="518"/>
      <c r="G177" s="513"/>
    </row>
    <row r="178" spans="1:7" ht="18" customHeight="1">
      <c r="A178" s="181"/>
      <c r="B178" s="91" t="s">
        <v>56</v>
      </c>
      <c r="C178" s="91" t="s">
        <v>54</v>
      </c>
      <c r="D178" s="91">
        <v>0.0019</v>
      </c>
      <c r="E178" s="114">
        <f>D178*E173</f>
        <v>0.9215</v>
      </c>
      <c r="F178" s="518"/>
      <c r="G178" s="513"/>
    </row>
    <row r="179" spans="1:7" ht="58.5" customHeight="1">
      <c r="A179" s="234">
        <v>29</v>
      </c>
      <c r="B179" s="133" t="s">
        <v>738</v>
      </c>
      <c r="C179" s="133" t="s">
        <v>74</v>
      </c>
      <c r="D179" s="133"/>
      <c r="E179" s="242">
        <v>455.2</v>
      </c>
      <c r="F179" s="510"/>
      <c r="G179" s="511"/>
    </row>
    <row r="180" spans="1:7" ht="24.75" customHeight="1">
      <c r="A180" s="181"/>
      <c r="B180" s="91" t="s">
        <v>665</v>
      </c>
      <c r="C180" s="91" t="s">
        <v>44</v>
      </c>
      <c r="D180" s="91">
        <f>1.15*0.243</f>
        <v>0.27945</v>
      </c>
      <c r="E180" s="86">
        <f>D180*E179</f>
        <v>127.20563999999999</v>
      </c>
      <c r="F180" s="518"/>
      <c r="G180" s="513"/>
    </row>
    <row r="181" spans="1:7" ht="26.25" customHeight="1">
      <c r="A181" s="181"/>
      <c r="B181" s="91" t="s">
        <v>742</v>
      </c>
      <c r="C181" s="87" t="s">
        <v>62</v>
      </c>
      <c r="D181" s="190">
        <v>0.041</v>
      </c>
      <c r="E181" s="86">
        <f>E179*D181</f>
        <v>18.6632</v>
      </c>
      <c r="F181" s="518"/>
      <c r="G181" s="513"/>
    </row>
    <row r="182" spans="1:7" ht="23.25" customHeight="1">
      <c r="A182" s="181"/>
      <c r="B182" s="91" t="s">
        <v>666</v>
      </c>
      <c r="C182" s="91" t="s">
        <v>54</v>
      </c>
      <c r="D182" s="91">
        <f>1.15*0.0467</f>
        <v>0.053704999999999996</v>
      </c>
      <c r="E182" s="86">
        <f>D182*E179</f>
        <v>24.446516</v>
      </c>
      <c r="F182" s="518"/>
      <c r="G182" s="513"/>
    </row>
    <row r="183" spans="1:7" ht="27" customHeight="1">
      <c r="A183" s="181"/>
      <c r="B183" s="91" t="s">
        <v>739</v>
      </c>
      <c r="C183" s="91" t="s">
        <v>74</v>
      </c>
      <c r="D183" s="91">
        <v>1.02</v>
      </c>
      <c r="E183" s="86">
        <f>D183*E179</f>
        <v>464.304</v>
      </c>
      <c r="F183" s="515"/>
      <c r="G183" s="513"/>
    </row>
    <row r="184" spans="1:7" ht="21" customHeight="1">
      <c r="A184" s="181"/>
      <c r="B184" s="91" t="s">
        <v>667</v>
      </c>
      <c r="C184" s="91" t="s">
        <v>53</v>
      </c>
      <c r="D184" s="91">
        <v>3</v>
      </c>
      <c r="E184" s="121">
        <f>E179*D184</f>
        <v>1365.6</v>
      </c>
      <c r="F184" s="518"/>
      <c r="G184" s="513"/>
    </row>
    <row r="185" spans="1:7" ht="23.25" customHeight="1">
      <c r="A185" s="181"/>
      <c r="B185" s="91" t="s">
        <v>56</v>
      </c>
      <c r="C185" s="91" t="s">
        <v>54</v>
      </c>
      <c r="D185" s="91">
        <v>0.0092</v>
      </c>
      <c r="E185" s="86">
        <f>E179*D185</f>
        <v>4.18784</v>
      </c>
      <c r="F185" s="518"/>
      <c r="G185" s="513"/>
    </row>
    <row r="186" spans="1:7" ht="71.25" customHeight="1">
      <c r="A186" s="399">
        <v>30</v>
      </c>
      <c r="B186" s="245" t="s">
        <v>750</v>
      </c>
      <c r="C186" s="245" t="s">
        <v>94</v>
      </c>
      <c r="D186" s="245"/>
      <c r="E186" s="351">
        <v>550</v>
      </c>
      <c r="F186" s="510"/>
      <c r="G186" s="511"/>
    </row>
    <row r="187" spans="1:7" ht="24" customHeight="1">
      <c r="A187" s="239"/>
      <c r="B187" s="190" t="s">
        <v>58</v>
      </c>
      <c r="C187" s="190" t="s">
        <v>94</v>
      </c>
      <c r="D187" s="190">
        <v>1</v>
      </c>
      <c r="E187" s="343">
        <f>D187*E186</f>
        <v>550</v>
      </c>
      <c r="F187" s="518"/>
      <c r="G187" s="513"/>
    </row>
    <row r="188" spans="1:7" ht="36.75" customHeight="1">
      <c r="A188" s="239"/>
      <c r="B188" s="190" t="s">
        <v>749</v>
      </c>
      <c r="C188" s="190" t="s">
        <v>94</v>
      </c>
      <c r="D188" s="190">
        <v>1.05</v>
      </c>
      <c r="E188" s="343">
        <f>D188*E186</f>
        <v>577.5</v>
      </c>
      <c r="F188" s="522"/>
      <c r="G188" s="513"/>
    </row>
    <row r="189" spans="1:7" ht="25.5" customHeight="1">
      <c r="A189" s="239"/>
      <c r="B189" s="190" t="s">
        <v>56</v>
      </c>
      <c r="C189" s="190" t="s">
        <v>54</v>
      </c>
      <c r="D189" s="190">
        <v>0.2</v>
      </c>
      <c r="E189" s="343">
        <f>E186*D189</f>
        <v>110</v>
      </c>
      <c r="F189" s="518"/>
      <c r="G189" s="513"/>
    </row>
    <row r="190" spans="1:7" ht="45" customHeight="1">
      <c r="A190" s="198" t="s">
        <v>645</v>
      </c>
      <c r="B190" s="133" t="s">
        <v>668</v>
      </c>
      <c r="C190" s="133" t="s">
        <v>53</v>
      </c>
      <c r="D190" s="199"/>
      <c r="E190" s="249">
        <v>9</v>
      </c>
      <c r="F190" s="506"/>
      <c r="G190" s="507"/>
    </row>
    <row r="191" spans="1:7" ht="24.75" customHeight="1">
      <c r="A191" s="104"/>
      <c r="B191" s="91" t="s">
        <v>669</v>
      </c>
      <c r="C191" s="91" t="s">
        <v>44</v>
      </c>
      <c r="D191" s="113">
        <f>1.15*2.7</f>
        <v>3.105</v>
      </c>
      <c r="E191" s="122">
        <f>D191*E190</f>
        <v>27.945</v>
      </c>
      <c r="F191" s="523"/>
      <c r="G191" s="509"/>
    </row>
    <row r="192" spans="1:7" ht="18.75" customHeight="1">
      <c r="A192" s="104"/>
      <c r="B192" s="91" t="s">
        <v>670</v>
      </c>
      <c r="C192" s="91" t="s">
        <v>54</v>
      </c>
      <c r="D192" s="113">
        <f>1.15*0.45</f>
        <v>0.5175</v>
      </c>
      <c r="E192" s="122">
        <f>D192*E190</f>
        <v>4.6575</v>
      </c>
      <c r="F192" s="519"/>
      <c r="G192" s="509"/>
    </row>
    <row r="193" spans="1:7" ht="22.5" customHeight="1">
      <c r="A193" s="104"/>
      <c r="B193" s="91" t="s">
        <v>671</v>
      </c>
      <c r="C193" s="91" t="s">
        <v>53</v>
      </c>
      <c r="D193" s="113">
        <v>1</v>
      </c>
      <c r="E193" s="166">
        <f>D193*E190</f>
        <v>9</v>
      </c>
      <c r="F193" s="519"/>
      <c r="G193" s="509"/>
    </row>
    <row r="194" spans="1:7" ht="27.75" customHeight="1">
      <c r="A194" s="104"/>
      <c r="B194" s="91" t="s">
        <v>136</v>
      </c>
      <c r="C194" s="91" t="s">
        <v>54</v>
      </c>
      <c r="D194" s="113">
        <v>0.14</v>
      </c>
      <c r="E194" s="122">
        <f>D194*E190</f>
        <v>1.2600000000000002</v>
      </c>
      <c r="F194" s="519"/>
      <c r="G194" s="509"/>
    </row>
    <row r="195" spans="1:7" ht="27">
      <c r="A195" s="198" t="s">
        <v>769</v>
      </c>
      <c r="B195" s="133" t="s">
        <v>673</v>
      </c>
      <c r="C195" s="133" t="s">
        <v>61</v>
      </c>
      <c r="D195" s="199"/>
      <c r="E195" s="403">
        <v>147</v>
      </c>
      <c r="F195" s="506"/>
      <c r="G195" s="507"/>
    </row>
    <row r="196" spans="1:7" ht="18" customHeight="1">
      <c r="A196" s="104"/>
      <c r="B196" s="91" t="s">
        <v>202</v>
      </c>
      <c r="C196" s="91" t="s">
        <v>44</v>
      </c>
      <c r="D196" s="91">
        <f>1.15*0.583</f>
        <v>0.6704499999999999</v>
      </c>
      <c r="E196" s="86">
        <f>D196*E195</f>
        <v>98.55614999999999</v>
      </c>
      <c r="F196" s="518"/>
      <c r="G196" s="509"/>
    </row>
    <row r="197" spans="1:7" ht="18.75" customHeight="1">
      <c r="A197" s="104"/>
      <c r="B197" s="91" t="s">
        <v>203</v>
      </c>
      <c r="C197" s="91" t="s">
        <v>54</v>
      </c>
      <c r="D197" s="113">
        <f>1.15*0.0046</f>
        <v>0.0052899999999999996</v>
      </c>
      <c r="E197" s="122">
        <f>D197*E195</f>
        <v>0.7776299999999999</v>
      </c>
      <c r="F197" s="519"/>
      <c r="G197" s="509"/>
    </row>
    <row r="198" spans="1:7" ht="24" customHeight="1">
      <c r="A198" s="104"/>
      <c r="B198" s="91" t="s">
        <v>674</v>
      </c>
      <c r="C198" s="91" t="s">
        <v>61</v>
      </c>
      <c r="D198" s="113">
        <v>1.02</v>
      </c>
      <c r="E198" s="166">
        <f>D198*E195</f>
        <v>149.94</v>
      </c>
      <c r="F198" s="524"/>
      <c r="G198" s="509"/>
    </row>
    <row r="199" spans="1:7" ht="18.75" customHeight="1">
      <c r="A199" s="104"/>
      <c r="B199" s="91" t="s">
        <v>675</v>
      </c>
      <c r="C199" s="91" t="s">
        <v>53</v>
      </c>
      <c r="D199" s="113"/>
      <c r="E199" s="166">
        <v>45</v>
      </c>
      <c r="F199" s="519"/>
      <c r="G199" s="509"/>
    </row>
    <row r="200" spans="1:7" ht="21" customHeight="1">
      <c r="A200" s="104"/>
      <c r="B200" s="91" t="s">
        <v>676</v>
      </c>
      <c r="C200" s="91" t="s">
        <v>53</v>
      </c>
      <c r="D200" s="113">
        <v>0.5</v>
      </c>
      <c r="E200" s="122">
        <f>E195*D200</f>
        <v>73.5</v>
      </c>
      <c r="F200" s="519"/>
      <c r="G200" s="509"/>
    </row>
    <row r="201" spans="1:7" ht="24" customHeight="1">
      <c r="A201" s="104"/>
      <c r="B201" s="91" t="s">
        <v>136</v>
      </c>
      <c r="C201" s="91" t="s">
        <v>54</v>
      </c>
      <c r="D201" s="113">
        <v>0.20800000000000002</v>
      </c>
      <c r="E201" s="122">
        <f>E195*D201</f>
        <v>30.576000000000004</v>
      </c>
      <c r="F201" s="519"/>
      <c r="G201" s="509"/>
    </row>
    <row r="202" spans="1:7" ht="49.5" customHeight="1">
      <c r="A202" s="198" t="s">
        <v>646</v>
      </c>
      <c r="B202" s="133" t="s">
        <v>762</v>
      </c>
      <c r="C202" s="133" t="s">
        <v>78</v>
      </c>
      <c r="D202" s="199"/>
      <c r="E202" s="402">
        <v>0.03</v>
      </c>
      <c r="F202" s="506"/>
      <c r="G202" s="507"/>
    </row>
    <row r="203" spans="1:7" ht="23.25" customHeight="1">
      <c r="A203" s="181"/>
      <c r="B203" s="91" t="s">
        <v>35</v>
      </c>
      <c r="C203" s="91" t="s">
        <v>44</v>
      </c>
      <c r="D203" s="113">
        <f>1.15*34.4</f>
        <v>39.559999999999995</v>
      </c>
      <c r="E203" s="183">
        <f>D203*E202</f>
        <v>1.1867999999999999</v>
      </c>
      <c r="F203" s="519"/>
      <c r="G203" s="509"/>
    </row>
    <row r="204" spans="1:7" ht="18" customHeight="1">
      <c r="A204" s="181"/>
      <c r="B204" s="91" t="s">
        <v>36</v>
      </c>
      <c r="C204" s="91" t="s">
        <v>54</v>
      </c>
      <c r="D204" s="113">
        <f>1.15*1.4</f>
        <v>1.6099999999999999</v>
      </c>
      <c r="E204" s="183">
        <f>E202*D204</f>
        <v>0.048299999999999996</v>
      </c>
      <c r="F204" s="519"/>
      <c r="G204" s="509"/>
    </row>
    <row r="205" spans="1:7" ht="22.5" customHeight="1">
      <c r="A205" s="181"/>
      <c r="B205" s="91" t="s">
        <v>658</v>
      </c>
      <c r="C205" s="91" t="s">
        <v>78</v>
      </c>
      <c r="D205" s="113">
        <v>1</v>
      </c>
      <c r="E205" s="183">
        <f>E202*D205</f>
        <v>0.03</v>
      </c>
      <c r="F205" s="519"/>
      <c r="G205" s="509"/>
    </row>
    <row r="206" spans="1:7" ht="23.25" customHeight="1">
      <c r="A206" s="181"/>
      <c r="B206" s="91" t="s">
        <v>56</v>
      </c>
      <c r="C206" s="91" t="s">
        <v>54</v>
      </c>
      <c r="D206" s="113">
        <v>0.3</v>
      </c>
      <c r="E206" s="183">
        <f>D206*E202</f>
        <v>0.009</v>
      </c>
      <c r="F206" s="519"/>
      <c r="G206" s="509"/>
    </row>
    <row r="207" spans="1:7" ht="40.5">
      <c r="A207" s="350" t="s">
        <v>649</v>
      </c>
      <c r="B207" s="245" t="s">
        <v>857</v>
      </c>
      <c r="C207" s="245" t="s">
        <v>78</v>
      </c>
      <c r="D207" s="245"/>
      <c r="E207" s="400">
        <v>0.25</v>
      </c>
      <c r="F207" s="520"/>
      <c r="G207" s="521"/>
    </row>
    <row r="208" spans="1:7" ht="29.25" customHeight="1">
      <c r="A208" s="189"/>
      <c r="B208" s="190" t="s">
        <v>677</v>
      </c>
      <c r="C208" s="190" t="s">
        <v>44</v>
      </c>
      <c r="D208" s="190">
        <f>1.15*53.8</f>
        <v>61.86999999999999</v>
      </c>
      <c r="E208" s="343">
        <f>D208*E207</f>
        <v>15.467499999999998</v>
      </c>
      <c r="F208" s="518"/>
      <c r="G208" s="513"/>
    </row>
    <row r="209" spans="1:7" ht="24.75" customHeight="1">
      <c r="A209" s="189"/>
      <c r="B209" s="190" t="s">
        <v>678</v>
      </c>
      <c r="C209" s="342" t="s">
        <v>62</v>
      </c>
      <c r="D209" s="190">
        <f>1.15*0.35</f>
        <v>0.40249999999999997</v>
      </c>
      <c r="E209" s="343">
        <f>E207*D209</f>
        <v>0.10062499999999999</v>
      </c>
      <c r="F209" s="518"/>
      <c r="G209" s="513"/>
    </row>
    <row r="210" spans="1:7" ht="24.75" customHeight="1">
      <c r="A210" s="189"/>
      <c r="B210" s="190" t="s">
        <v>679</v>
      </c>
      <c r="C210" s="190" t="s">
        <v>54</v>
      </c>
      <c r="D210" s="190">
        <f>1.15*18.4</f>
        <v>21.159999999999997</v>
      </c>
      <c r="E210" s="343">
        <f>D210*E207</f>
        <v>5.289999999999999</v>
      </c>
      <c r="F210" s="518"/>
      <c r="G210" s="513"/>
    </row>
    <row r="211" spans="1:7" ht="24" customHeight="1">
      <c r="A211" s="189"/>
      <c r="B211" s="425" t="s">
        <v>858</v>
      </c>
      <c r="C211" s="190" t="s">
        <v>78</v>
      </c>
      <c r="D211" s="190">
        <v>1.03</v>
      </c>
      <c r="E211" s="404">
        <f>E207*D211</f>
        <v>0.2575</v>
      </c>
      <c r="F211" s="522"/>
      <c r="G211" s="513"/>
    </row>
    <row r="212" spans="1:7" ht="23.25" customHeight="1">
      <c r="A212" s="189"/>
      <c r="B212" s="190" t="s">
        <v>276</v>
      </c>
      <c r="C212" s="190" t="s">
        <v>94</v>
      </c>
      <c r="D212" s="190">
        <v>24.4</v>
      </c>
      <c r="E212" s="343">
        <f>E207*D212</f>
        <v>6.1</v>
      </c>
      <c r="F212" s="518"/>
      <c r="G212" s="513"/>
    </row>
    <row r="213" spans="1:7" ht="22.5" customHeight="1">
      <c r="A213" s="189"/>
      <c r="B213" s="190" t="s">
        <v>56</v>
      </c>
      <c r="C213" s="190" t="s">
        <v>54</v>
      </c>
      <c r="D213" s="190">
        <v>2.78</v>
      </c>
      <c r="E213" s="343">
        <f>E207*D213</f>
        <v>0.695</v>
      </c>
      <c r="F213" s="518"/>
      <c r="G213" s="513"/>
    </row>
    <row r="214" spans="1:7" ht="29.25" customHeight="1">
      <c r="A214" s="198" t="s">
        <v>650</v>
      </c>
      <c r="B214" s="133" t="s">
        <v>680</v>
      </c>
      <c r="C214" s="133" t="s">
        <v>74</v>
      </c>
      <c r="D214" s="133"/>
      <c r="E214" s="243">
        <v>14.6</v>
      </c>
      <c r="F214" s="510"/>
      <c r="G214" s="511"/>
    </row>
    <row r="215" spans="1:7" ht="22.5" customHeight="1">
      <c r="A215" s="181"/>
      <c r="B215" s="91" t="s">
        <v>647</v>
      </c>
      <c r="C215" s="91" t="s">
        <v>44</v>
      </c>
      <c r="D215" s="91">
        <f>1.15*0.68</f>
        <v>0.782</v>
      </c>
      <c r="E215" s="114">
        <f>D215*E214</f>
        <v>11.4172</v>
      </c>
      <c r="F215" s="518"/>
      <c r="G215" s="513"/>
    </row>
    <row r="216" spans="1:7" ht="26.25" customHeight="1">
      <c r="A216" s="181"/>
      <c r="B216" s="91" t="s">
        <v>127</v>
      </c>
      <c r="C216" s="91" t="s">
        <v>54</v>
      </c>
      <c r="D216" s="91">
        <f>1.15*0.0003</f>
        <v>0.00034499999999999993</v>
      </c>
      <c r="E216" s="114">
        <f>D216*E214</f>
        <v>0.005036999999999999</v>
      </c>
      <c r="F216" s="518"/>
      <c r="G216" s="513"/>
    </row>
    <row r="217" spans="1:7" ht="21.75" customHeight="1">
      <c r="A217" s="181"/>
      <c r="B217" s="91" t="s">
        <v>648</v>
      </c>
      <c r="C217" s="91" t="s">
        <v>94</v>
      </c>
      <c r="D217" s="91">
        <v>0.24600000000000002</v>
      </c>
      <c r="E217" s="114">
        <f>D217*E214</f>
        <v>3.5916</v>
      </c>
      <c r="F217" s="518"/>
      <c r="G217" s="513"/>
    </row>
    <row r="218" spans="1:7" ht="17.25" customHeight="1">
      <c r="A218" s="181"/>
      <c r="B218" s="91" t="s">
        <v>129</v>
      </c>
      <c r="C218" s="91" t="s">
        <v>94</v>
      </c>
      <c r="D218" s="91">
        <v>0.027000000000000003</v>
      </c>
      <c r="E218" s="114">
        <f>D218*E214</f>
        <v>0.39420000000000005</v>
      </c>
      <c r="F218" s="518"/>
      <c r="G218" s="513"/>
    </row>
    <row r="219" spans="1:7" ht="24" customHeight="1">
      <c r="A219" s="181"/>
      <c r="B219" s="91" t="s">
        <v>56</v>
      </c>
      <c r="C219" s="91" t="s">
        <v>54</v>
      </c>
      <c r="D219" s="91">
        <v>0.0019</v>
      </c>
      <c r="E219" s="114">
        <f>D219*E214</f>
        <v>0.02774</v>
      </c>
      <c r="F219" s="518"/>
      <c r="G219" s="513"/>
    </row>
    <row r="220" spans="1:7" ht="33.75" customHeight="1">
      <c r="A220" s="198" t="s">
        <v>651</v>
      </c>
      <c r="B220" s="133" t="s">
        <v>681</v>
      </c>
      <c r="C220" s="405" t="s">
        <v>74</v>
      </c>
      <c r="D220" s="199"/>
      <c r="E220" s="200">
        <v>21.5</v>
      </c>
      <c r="F220" s="506"/>
      <c r="G220" s="507"/>
    </row>
    <row r="221" spans="1:7" ht="27.75" customHeight="1">
      <c r="A221" s="104"/>
      <c r="B221" s="91" t="s">
        <v>84</v>
      </c>
      <c r="C221" s="113" t="str">
        <f>C220</f>
        <v>kv.m</v>
      </c>
      <c r="D221" s="113">
        <v>1</v>
      </c>
      <c r="E221" s="122">
        <f>E220*D221</f>
        <v>21.5</v>
      </c>
      <c r="F221" s="524"/>
      <c r="G221" s="509"/>
    </row>
    <row r="222" spans="1:7" ht="51.75" customHeight="1">
      <c r="A222" s="350" t="s">
        <v>652</v>
      </c>
      <c r="B222" s="245" t="s">
        <v>682</v>
      </c>
      <c r="C222" s="245" t="s">
        <v>52</v>
      </c>
      <c r="D222" s="355"/>
      <c r="E222" s="351">
        <v>1.8</v>
      </c>
      <c r="F222" s="510"/>
      <c r="G222" s="511"/>
    </row>
    <row r="223" spans="1:7" ht="33.75" customHeight="1">
      <c r="A223" s="239"/>
      <c r="B223" s="190" t="s">
        <v>66</v>
      </c>
      <c r="C223" s="190" t="s">
        <v>44</v>
      </c>
      <c r="D223" s="190">
        <f>1.15*2.06</f>
        <v>2.3689999999999998</v>
      </c>
      <c r="E223" s="343">
        <f>E222*D223</f>
        <v>4.2642</v>
      </c>
      <c r="F223" s="518"/>
      <c r="G223" s="513"/>
    </row>
    <row r="224" spans="1:7" ht="50.25" customHeight="1">
      <c r="A224" s="350" t="s">
        <v>653</v>
      </c>
      <c r="B224" s="245" t="s">
        <v>859</v>
      </c>
      <c r="C224" s="245" t="s">
        <v>52</v>
      </c>
      <c r="D224" s="245"/>
      <c r="E224" s="351">
        <v>1.2</v>
      </c>
      <c r="F224" s="510"/>
      <c r="G224" s="507"/>
    </row>
    <row r="225" spans="1:7" ht="24.75" customHeight="1">
      <c r="A225" s="239"/>
      <c r="B225" s="190" t="s">
        <v>627</v>
      </c>
      <c r="C225" s="190" t="s">
        <v>44</v>
      </c>
      <c r="D225" s="190">
        <f>1.15*5.07</f>
        <v>5.8305</v>
      </c>
      <c r="E225" s="343">
        <f>E224*D225</f>
        <v>6.9966</v>
      </c>
      <c r="F225" s="518"/>
      <c r="G225" s="509"/>
    </row>
    <row r="226" spans="1:7" ht="25.5" customHeight="1">
      <c r="A226" s="239"/>
      <c r="B226" s="190" t="s">
        <v>684</v>
      </c>
      <c r="C226" s="190" t="s">
        <v>54</v>
      </c>
      <c r="D226" s="190">
        <f>1.15*0.34</f>
        <v>0.391</v>
      </c>
      <c r="E226" s="343">
        <f>D226*E224</f>
        <v>0.4692</v>
      </c>
      <c r="F226" s="518"/>
      <c r="G226" s="509"/>
    </row>
    <row r="227" spans="1:7" ht="21" customHeight="1">
      <c r="A227" s="239"/>
      <c r="B227" s="190" t="s">
        <v>763</v>
      </c>
      <c r="C227" s="190" t="s">
        <v>52</v>
      </c>
      <c r="D227" s="190">
        <v>1.015</v>
      </c>
      <c r="E227" s="343">
        <f>D227*E224</f>
        <v>1.2179999999999997</v>
      </c>
      <c r="F227" s="522"/>
      <c r="G227" s="509"/>
    </row>
    <row r="228" spans="1:7" ht="21.75" customHeight="1">
      <c r="A228" s="239"/>
      <c r="B228" s="190" t="s">
        <v>685</v>
      </c>
      <c r="C228" s="190" t="s">
        <v>80</v>
      </c>
      <c r="D228" s="190">
        <v>1.17</v>
      </c>
      <c r="E228" s="343">
        <f>D228*E224</f>
        <v>1.404</v>
      </c>
      <c r="F228" s="518"/>
      <c r="G228" s="509"/>
    </row>
    <row r="229" spans="1:7" ht="23.25" customHeight="1">
      <c r="A229" s="239"/>
      <c r="B229" s="190" t="s">
        <v>714</v>
      </c>
      <c r="C229" s="190" t="s">
        <v>52</v>
      </c>
      <c r="D229" s="190">
        <v>0.0125</v>
      </c>
      <c r="E229" s="343">
        <f>E224*D229</f>
        <v>0.015</v>
      </c>
      <c r="F229" s="518"/>
      <c r="G229" s="509"/>
    </row>
    <row r="230" spans="1:7" ht="27.75" customHeight="1">
      <c r="A230" s="239"/>
      <c r="B230" s="190" t="s">
        <v>56</v>
      </c>
      <c r="C230" s="190" t="s">
        <v>54</v>
      </c>
      <c r="D230" s="190">
        <v>0.25</v>
      </c>
      <c r="E230" s="343">
        <f>D230*E224</f>
        <v>0.3</v>
      </c>
      <c r="F230" s="518"/>
      <c r="G230" s="509"/>
    </row>
    <row r="231" spans="1:7" ht="50.25" customHeight="1">
      <c r="A231" s="350" t="s">
        <v>654</v>
      </c>
      <c r="B231" s="245" t="s">
        <v>840</v>
      </c>
      <c r="C231" s="245" t="s">
        <v>78</v>
      </c>
      <c r="D231" s="245"/>
      <c r="E231" s="351">
        <v>3.8</v>
      </c>
      <c r="F231" s="520"/>
      <c r="G231" s="525"/>
    </row>
    <row r="232" spans="1:7" ht="27" customHeight="1">
      <c r="A232" s="239"/>
      <c r="B232" s="190" t="s">
        <v>801</v>
      </c>
      <c r="C232" s="190" t="s">
        <v>44</v>
      </c>
      <c r="D232" s="190">
        <f>1.15*32.9*1.1</f>
        <v>41.6185</v>
      </c>
      <c r="E232" s="191">
        <f>E231*D232</f>
        <v>158.1503</v>
      </c>
      <c r="F232" s="518"/>
      <c r="G232" s="509"/>
    </row>
    <row r="233" spans="1:7" ht="21.75" customHeight="1">
      <c r="A233" s="239"/>
      <c r="B233" s="190" t="s">
        <v>678</v>
      </c>
      <c r="C233" s="342" t="s">
        <v>62</v>
      </c>
      <c r="D233" s="190">
        <f>1.15*0.35</f>
        <v>0.40249999999999997</v>
      </c>
      <c r="E233" s="343">
        <f>E231*D233</f>
        <v>1.5294999999999999</v>
      </c>
      <c r="F233" s="518"/>
      <c r="G233" s="513"/>
    </row>
    <row r="234" spans="1:7" ht="26.25" customHeight="1">
      <c r="A234" s="239"/>
      <c r="B234" s="190" t="s">
        <v>687</v>
      </c>
      <c r="C234" s="190" t="s">
        <v>54</v>
      </c>
      <c r="D234" s="190">
        <f>1.15*13.9</f>
        <v>15.985</v>
      </c>
      <c r="E234" s="343">
        <f>D234*E231</f>
        <v>60.742999999999995</v>
      </c>
      <c r="F234" s="518"/>
      <c r="G234" s="509"/>
    </row>
    <row r="235" spans="1:7" ht="21.75" customHeight="1">
      <c r="A235" s="239"/>
      <c r="B235" s="190" t="s">
        <v>688</v>
      </c>
      <c r="C235" s="190" t="s">
        <v>689</v>
      </c>
      <c r="D235" s="190">
        <v>1</v>
      </c>
      <c r="E235" s="406">
        <f>D235*E231</f>
        <v>3.8</v>
      </c>
      <c r="F235" s="518"/>
      <c r="G235" s="509"/>
    </row>
    <row r="236" spans="1:7" ht="23.25" customHeight="1">
      <c r="A236" s="239"/>
      <c r="B236" s="190" t="s">
        <v>276</v>
      </c>
      <c r="C236" s="190" t="s">
        <v>94</v>
      </c>
      <c r="D236" s="190">
        <v>4.78</v>
      </c>
      <c r="E236" s="343">
        <f>E231*D236</f>
        <v>18.164</v>
      </c>
      <c r="F236" s="518"/>
      <c r="G236" s="509"/>
    </row>
    <row r="237" spans="1:7" ht="27.75" customHeight="1">
      <c r="A237" s="239"/>
      <c r="B237" s="190" t="s">
        <v>56</v>
      </c>
      <c r="C237" s="190" t="s">
        <v>54</v>
      </c>
      <c r="D237" s="190">
        <v>2.78</v>
      </c>
      <c r="E237" s="343">
        <f>D237*E231</f>
        <v>10.563999999999998</v>
      </c>
      <c r="F237" s="518"/>
      <c r="G237" s="509"/>
    </row>
    <row r="238" spans="1:7" ht="57" customHeight="1">
      <c r="A238" s="234">
        <v>40</v>
      </c>
      <c r="B238" s="133" t="s">
        <v>743</v>
      </c>
      <c r="C238" s="407" t="s">
        <v>458</v>
      </c>
      <c r="D238" s="408"/>
      <c r="E238" s="243">
        <v>0.48</v>
      </c>
      <c r="F238" s="526"/>
      <c r="G238" s="527"/>
    </row>
    <row r="239" spans="1:7" ht="28.5" customHeight="1">
      <c r="A239" s="331"/>
      <c r="B239" s="91" t="s">
        <v>459</v>
      </c>
      <c r="C239" s="102" t="s">
        <v>44</v>
      </c>
      <c r="D239" s="409">
        <v>43.815</v>
      </c>
      <c r="E239" s="409">
        <f>D239*E238</f>
        <v>21.0312</v>
      </c>
      <c r="F239" s="515"/>
      <c r="G239" s="522"/>
    </row>
    <row r="240" spans="1:7" ht="21.75" customHeight="1">
      <c r="A240" s="331"/>
      <c r="B240" s="91" t="s">
        <v>446</v>
      </c>
      <c r="C240" s="91" t="s">
        <v>54</v>
      </c>
      <c r="D240" s="409">
        <v>1.725</v>
      </c>
      <c r="E240" s="409">
        <f>D240*E238</f>
        <v>0.828</v>
      </c>
      <c r="F240" s="515"/>
      <c r="G240" s="522"/>
    </row>
    <row r="241" spans="1:7" ht="25.5" customHeight="1">
      <c r="A241" s="331"/>
      <c r="B241" s="91" t="s">
        <v>744</v>
      </c>
      <c r="C241" s="91" t="s">
        <v>52</v>
      </c>
      <c r="D241" s="409">
        <v>3.1</v>
      </c>
      <c r="E241" s="409">
        <f>E238*D241</f>
        <v>1.488</v>
      </c>
      <c r="F241" s="515"/>
      <c r="G241" s="522"/>
    </row>
    <row r="242" spans="1:7" ht="28.5" customHeight="1">
      <c r="A242" s="331"/>
      <c r="B242" s="91" t="s">
        <v>63</v>
      </c>
      <c r="C242" s="91" t="s">
        <v>54</v>
      </c>
      <c r="D242" s="409">
        <v>0.36</v>
      </c>
      <c r="E242" s="409">
        <f>E238*D242</f>
        <v>0.17279999999999998</v>
      </c>
      <c r="F242" s="515"/>
      <c r="G242" s="522"/>
    </row>
    <row r="243" spans="1:17" s="2" customFormat="1" ht="42.75" customHeight="1">
      <c r="A243" s="350" t="s">
        <v>656</v>
      </c>
      <c r="B243" s="245" t="s">
        <v>453</v>
      </c>
      <c r="C243" s="245" t="s">
        <v>59</v>
      </c>
      <c r="D243" s="245"/>
      <c r="E243" s="351">
        <v>220</v>
      </c>
      <c r="F243" s="510"/>
      <c r="G243" s="511"/>
      <c r="H243"/>
      <c r="I243"/>
      <c r="J243"/>
      <c r="K243"/>
      <c r="L243"/>
      <c r="M243"/>
      <c r="N243"/>
      <c r="O243"/>
      <c r="P243"/>
      <c r="Q243" s="71"/>
    </row>
    <row r="244" spans="1:16" s="2" customFormat="1" ht="22.5" customHeight="1">
      <c r="A244" s="104"/>
      <c r="B244" s="91" t="s">
        <v>154</v>
      </c>
      <c r="C244" s="91" t="s">
        <v>44</v>
      </c>
      <c r="D244" s="91">
        <f>1.15*3.6</f>
        <v>4.14</v>
      </c>
      <c r="E244" s="86">
        <f>D244*E243</f>
        <v>910.8</v>
      </c>
      <c r="F244" s="519"/>
      <c r="G244" s="513"/>
      <c r="H244"/>
      <c r="I244"/>
      <c r="J244"/>
      <c r="K244"/>
      <c r="L244"/>
      <c r="M244"/>
      <c r="N244"/>
      <c r="O244"/>
      <c r="P244"/>
    </row>
    <row r="245" spans="1:16" s="2" customFormat="1" ht="20.25" customHeight="1">
      <c r="A245" s="104"/>
      <c r="B245" s="91" t="s">
        <v>96</v>
      </c>
      <c r="C245" s="91" t="s">
        <v>54</v>
      </c>
      <c r="D245" s="91">
        <f>1.15*0.92</f>
        <v>1.058</v>
      </c>
      <c r="E245" s="86">
        <f>D245*E243</f>
        <v>232.76000000000002</v>
      </c>
      <c r="F245" s="518"/>
      <c r="G245" s="513"/>
      <c r="H245"/>
      <c r="I245"/>
      <c r="J245"/>
      <c r="K245"/>
      <c r="L245"/>
      <c r="M245"/>
      <c r="N245"/>
      <c r="O245"/>
      <c r="P245"/>
    </row>
    <row r="246" spans="1:16" s="2" customFormat="1" ht="22.5" customHeight="1">
      <c r="A246" s="104"/>
      <c r="B246" s="91" t="s">
        <v>98</v>
      </c>
      <c r="C246" s="91" t="s">
        <v>52</v>
      </c>
      <c r="D246" s="91">
        <v>0.11</v>
      </c>
      <c r="E246" s="86">
        <f>D246*E243</f>
        <v>24.2</v>
      </c>
      <c r="F246" s="518"/>
      <c r="G246" s="513"/>
      <c r="H246"/>
      <c r="I246"/>
      <c r="J246"/>
      <c r="K246"/>
      <c r="L246"/>
      <c r="M246"/>
      <c r="N246"/>
      <c r="O246"/>
      <c r="P246"/>
    </row>
    <row r="247" spans="1:17" s="71" customFormat="1" ht="27.75" customHeight="1">
      <c r="A247" s="104"/>
      <c r="B247" s="91" t="s">
        <v>155</v>
      </c>
      <c r="C247" s="91" t="s">
        <v>53</v>
      </c>
      <c r="D247" s="86">
        <f>0.92/(0.39*0.19*0.188)</f>
        <v>66.04071553679617</v>
      </c>
      <c r="E247" s="86">
        <f>D247*E243</f>
        <v>14528.957418095157</v>
      </c>
      <c r="F247" s="515"/>
      <c r="G247" s="513"/>
      <c r="H247"/>
      <c r="I247"/>
      <c r="J247"/>
      <c r="K247"/>
      <c r="L247"/>
      <c r="M247"/>
      <c r="N247"/>
      <c r="O247"/>
      <c r="P247"/>
      <c r="Q247" s="2"/>
    </row>
    <row r="248" spans="1:16" s="2" customFormat="1" ht="24.75" customHeight="1">
      <c r="A248" s="104"/>
      <c r="B248" s="91" t="s">
        <v>56</v>
      </c>
      <c r="C248" s="91" t="s">
        <v>54</v>
      </c>
      <c r="D248" s="91">
        <v>0.16</v>
      </c>
      <c r="E248" s="86">
        <f>D248*E243</f>
        <v>35.2</v>
      </c>
      <c r="F248" s="518"/>
      <c r="G248" s="513"/>
      <c r="H248"/>
      <c r="I248"/>
      <c r="J248"/>
      <c r="K248"/>
      <c r="L248"/>
      <c r="M248"/>
      <c r="N248"/>
      <c r="O248"/>
      <c r="P248"/>
    </row>
    <row r="249" spans="1:16" s="2" customFormat="1" ht="49.5" customHeight="1">
      <c r="A249" s="350" t="s">
        <v>472</v>
      </c>
      <c r="B249" s="245" t="s">
        <v>745</v>
      </c>
      <c r="C249" s="245" t="s">
        <v>59</v>
      </c>
      <c r="D249" s="245"/>
      <c r="E249" s="351">
        <v>282.8</v>
      </c>
      <c r="F249" s="510"/>
      <c r="G249" s="511"/>
      <c r="H249"/>
      <c r="I249"/>
      <c r="J249"/>
      <c r="K249"/>
      <c r="L249"/>
      <c r="M249"/>
      <c r="N249"/>
      <c r="O249"/>
      <c r="P249"/>
    </row>
    <row r="250" spans="1:17" s="6" customFormat="1" ht="30" customHeight="1">
      <c r="A250" s="104"/>
      <c r="B250" s="91" t="s">
        <v>154</v>
      </c>
      <c r="C250" s="91" t="s">
        <v>44</v>
      </c>
      <c r="D250" s="91">
        <f>1.15*3.6</f>
        <v>4.14</v>
      </c>
      <c r="E250" s="86">
        <f>D250*E249</f>
        <v>1170.792</v>
      </c>
      <c r="F250" s="519"/>
      <c r="G250" s="513"/>
      <c r="H250"/>
      <c r="I250"/>
      <c r="J250"/>
      <c r="K250"/>
      <c r="L250"/>
      <c r="M250"/>
      <c r="N250"/>
      <c r="O250"/>
      <c r="P250"/>
      <c r="Q250" s="2"/>
    </row>
    <row r="251" spans="1:17" s="6" customFormat="1" ht="27" customHeight="1">
      <c r="A251" s="104"/>
      <c r="B251" s="91" t="s">
        <v>96</v>
      </c>
      <c r="C251" s="91" t="s">
        <v>54</v>
      </c>
      <c r="D251" s="91">
        <f>1.15*0.92</f>
        <v>1.058</v>
      </c>
      <c r="E251" s="86">
        <f>D251*E249</f>
        <v>299.2024</v>
      </c>
      <c r="F251" s="518"/>
      <c r="G251" s="513"/>
      <c r="H251"/>
      <c r="I251"/>
      <c r="J251"/>
      <c r="K251"/>
      <c r="L251"/>
      <c r="M251"/>
      <c r="N251"/>
      <c r="O251"/>
      <c r="P251"/>
      <c r="Q251" s="2"/>
    </row>
    <row r="252" spans="1:16" s="2" customFormat="1" ht="27" customHeight="1">
      <c r="A252" s="104"/>
      <c r="B252" s="91" t="s">
        <v>98</v>
      </c>
      <c r="C252" s="91" t="s">
        <v>52</v>
      </c>
      <c r="D252" s="91">
        <v>0.11</v>
      </c>
      <c r="E252" s="86">
        <f>D252*E249</f>
        <v>31.108</v>
      </c>
      <c r="F252" s="518"/>
      <c r="G252" s="513"/>
      <c r="H252"/>
      <c r="I252"/>
      <c r="J252"/>
      <c r="K252"/>
      <c r="L252"/>
      <c r="M252"/>
      <c r="N252"/>
      <c r="O252"/>
      <c r="P252"/>
    </row>
    <row r="253" spans="1:16" s="2" customFormat="1" ht="33" customHeight="1">
      <c r="A253" s="104"/>
      <c r="B253" s="91" t="s">
        <v>155</v>
      </c>
      <c r="C253" s="91" t="s">
        <v>53</v>
      </c>
      <c r="D253" s="86">
        <f>0.92/(0.39*0.19*0.188)</f>
        <v>66.04071553679617</v>
      </c>
      <c r="E253" s="86">
        <f>D253*E249</f>
        <v>18676.31435380596</v>
      </c>
      <c r="F253" s="515"/>
      <c r="G253" s="513"/>
      <c r="H253" s="55" t="e">
        <f>#REF!/#REF!</f>
        <v>#REF!</v>
      </c>
      <c r="I253" s="27" t="e">
        <f>#REF!</f>
        <v>#REF!</v>
      </c>
      <c r="J253" s="63"/>
      <c r="K253" s="15"/>
      <c r="L253" s="15"/>
      <c r="M253" s="15"/>
      <c r="N253" s="15"/>
      <c r="O253" s="15"/>
      <c r="P253" s="15"/>
    </row>
    <row r="254" spans="1:16" s="2" customFormat="1" ht="24.75" customHeight="1">
      <c r="A254" s="104"/>
      <c r="B254" s="91" t="s">
        <v>56</v>
      </c>
      <c r="C254" s="91" t="s">
        <v>54</v>
      </c>
      <c r="D254" s="91">
        <v>0.16</v>
      </c>
      <c r="E254" s="86">
        <f>D254*E249</f>
        <v>45.248000000000005</v>
      </c>
      <c r="F254" s="518"/>
      <c r="G254" s="513"/>
      <c r="H254" s="62"/>
      <c r="I254" s="27" t="e">
        <f>#REF!</f>
        <v>#REF!</v>
      </c>
      <c r="J254" s="63"/>
      <c r="K254" s="15"/>
      <c r="L254" s="15"/>
      <c r="M254" s="15"/>
      <c r="N254" s="15"/>
      <c r="O254" s="15"/>
      <c r="P254" s="15"/>
    </row>
    <row r="255" spans="1:16" s="2" customFormat="1" ht="50.25" customHeight="1">
      <c r="A255" s="350" t="s">
        <v>470</v>
      </c>
      <c r="B255" s="245" t="s">
        <v>746</v>
      </c>
      <c r="C255" s="245" t="s">
        <v>74</v>
      </c>
      <c r="D255" s="245"/>
      <c r="E255" s="351">
        <v>346</v>
      </c>
      <c r="F255" s="510"/>
      <c r="G255" s="511"/>
      <c r="H255" s="55" t="e">
        <f>#REF!/#REF!</f>
        <v>#REF!</v>
      </c>
      <c r="I255" s="27" t="e">
        <f>#REF!</f>
        <v>#REF!</v>
      </c>
      <c r="J255" s="63"/>
      <c r="K255" s="15"/>
      <c r="L255" s="15"/>
      <c r="M255" s="15"/>
      <c r="N255" s="15"/>
      <c r="O255" s="15"/>
      <c r="P255" s="15"/>
    </row>
    <row r="256" spans="1:17" s="2" customFormat="1" ht="31.5" customHeight="1">
      <c r="A256" s="104"/>
      <c r="B256" s="91" t="s">
        <v>158</v>
      </c>
      <c r="C256" s="91" t="s">
        <v>44</v>
      </c>
      <c r="D256" s="91">
        <f>1.15*1</f>
        <v>1.15</v>
      </c>
      <c r="E256" s="86">
        <f>D256*E255</f>
        <v>397.9</v>
      </c>
      <c r="F256" s="519"/>
      <c r="G256" s="513"/>
      <c r="H256" s="62"/>
      <c r="I256" s="27" t="e">
        <f>#REF!</f>
        <v>#REF!</v>
      </c>
      <c r="J256" s="63"/>
      <c r="K256" s="15"/>
      <c r="L256" s="15"/>
      <c r="M256" s="15"/>
      <c r="N256" s="15"/>
      <c r="O256" s="15"/>
      <c r="P256" s="15"/>
      <c r="Q256" s="4"/>
    </row>
    <row r="257" spans="1:17" s="2" customFormat="1" ht="25.5" customHeight="1">
      <c r="A257" s="104"/>
      <c r="B257" s="91" t="s">
        <v>101</v>
      </c>
      <c r="C257" s="91" t="s">
        <v>54</v>
      </c>
      <c r="D257" s="91">
        <f>1.15*0.0644</f>
        <v>0.07405999999999999</v>
      </c>
      <c r="E257" s="86">
        <f>D257*E255</f>
        <v>25.624759999999995</v>
      </c>
      <c r="F257" s="518"/>
      <c r="G257" s="513"/>
      <c r="H257" s="55" t="e">
        <f>#REF!/#REF!</f>
        <v>#REF!</v>
      </c>
      <c r="I257" s="27" t="e">
        <f>#REF!</f>
        <v>#REF!</v>
      </c>
      <c r="J257" s="63"/>
      <c r="K257" s="15"/>
      <c r="L257" s="15"/>
      <c r="M257" s="15"/>
      <c r="N257" s="15"/>
      <c r="O257" s="15"/>
      <c r="P257" s="15"/>
      <c r="Q257" s="4"/>
    </row>
    <row r="258" spans="1:17" s="2" customFormat="1" ht="19.5" customHeight="1">
      <c r="A258" s="104"/>
      <c r="B258" s="91" t="s">
        <v>98</v>
      </c>
      <c r="C258" s="91" t="s">
        <v>52</v>
      </c>
      <c r="D258" s="91">
        <f>0.11*0.1</f>
        <v>0.011000000000000001</v>
      </c>
      <c r="E258" s="86">
        <f>D258*E255</f>
        <v>3.8060000000000005</v>
      </c>
      <c r="F258" s="518"/>
      <c r="G258" s="513"/>
      <c r="H258" s="62"/>
      <c r="I258" s="27" t="e">
        <f>#REF!</f>
        <v>#REF!</v>
      </c>
      <c r="J258" s="63"/>
      <c r="K258" s="15"/>
      <c r="L258" s="15"/>
      <c r="M258" s="15"/>
      <c r="N258" s="15"/>
      <c r="O258" s="15"/>
      <c r="P258" s="15"/>
      <c r="Q258" s="4"/>
    </row>
    <row r="259" spans="1:17" s="2" customFormat="1" ht="22.5" customHeight="1">
      <c r="A259" s="104"/>
      <c r="B259" s="91" t="s">
        <v>275</v>
      </c>
      <c r="C259" s="91" t="s">
        <v>53</v>
      </c>
      <c r="D259" s="86">
        <v>12.5</v>
      </c>
      <c r="E259" s="86">
        <f>D259*E255</f>
        <v>4325</v>
      </c>
      <c r="F259" s="518"/>
      <c r="G259" s="513"/>
      <c r="H259" s="55" t="e">
        <f>#REF!/#REF!</f>
        <v>#REF!</v>
      </c>
      <c r="I259" s="27" t="e">
        <f>#REF!</f>
        <v>#REF!</v>
      </c>
      <c r="J259" s="63"/>
      <c r="K259" s="15"/>
      <c r="L259" s="15"/>
      <c r="M259" s="15"/>
      <c r="N259" s="15"/>
      <c r="O259" s="15"/>
      <c r="P259" s="15"/>
      <c r="Q259" s="6"/>
    </row>
    <row r="260" spans="1:17" s="2" customFormat="1" ht="19.5" customHeight="1">
      <c r="A260" s="104"/>
      <c r="B260" s="91" t="s">
        <v>56</v>
      </c>
      <c r="C260" s="91" t="s">
        <v>54</v>
      </c>
      <c r="D260" s="91">
        <v>0.0012</v>
      </c>
      <c r="E260" s="86">
        <f>D260*E255</f>
        <v>0.41519999999999996</v>
      </c>
      <c r="F260" s="518"/>
      <c r="G260" s="513"/>
      <c r="H260" s="62"/>
      <c r="I260" s="27" t="e">
        <f>#REF!</f>
        <v>#REF!</v>
      </c>
      <c r="J260" s="63"/>
      <c r="K260" s="15"/>
      <c r="L260" s="15"/>
      <c r="M260" s="15"/>
      <c r="N260" s="15"/>
      <c r="O260" s="15"/>
      <c r="P260" s="15"/>
      <c r="Q260" s="4"/>
    </row>
    <row r="261" spans="1:52" s="4" customFormat="1" ht="48" customHeight="1">
      <c r="A261" s="399">
        <v>44</v>
      </c>
      <c r="B261" s="245" t="s">
        <v>841</v>
      </c>
      <c r="C261" s="245" t="s">
        <v>78</v>
      </c>
      <c r="D261" s="245"/>
      <c r="E261" s="400">
        <v>1.18</v>
      </c>
      <c r="F261" s="510"/>
      <c r="G261" s="511"/>
      <c r="H261" s="55" t="e">
        <f>#REF!/#REF!</f>
        <v>#REF!</v>
      </c>
      <c r="I261" s="27" t="e">
        <f>#REF!</f>
        <v>#REF!</v>
      </c>
      <c r="J261" s="63"/>
      <c r="K261" s="15"/>
      <c r="L261" s="15"/>
      <c r="M261" s="15"/>
      <c r="N261" s="15"/>
      <c r="O261" s="15"/>
      <c r="P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2"/>
      <c r="AT261" s="2"/>
      <c r="AU261" s="2"/>
      <c r="AV261" s="2"/>
      <c r="AW261" s="2"/>
      <c r="AX261" s="2"/>
      <c r="AY261" s="2"/>
      <c r="AZ261" s="2"/>
    </row>
    <row r="262" spans="1:52" s="4" customFormat="1" ht="27.75" customHeight="1">
      <c r="A262" s="104"/>
      <c r="B262" s="102" t="s">
        <v>156</v>
      </c>
      <c r="C262" s="102" t="s">
        <v>44</v>
      </c>
      <c r="D262" s="102">
        <f>1.15*54.3</f>
        <v>62.44499999999999</v>
      </c>
      <c r="E262" s="103">
        <f>D262*E261</f>
        <v>73.68509999999999</v>
      </c>
      <c r="F262" s="519"/>
      <c r="G262" s="513"/>
      <c r="I262" s="27" t="e">
        <f>#REF!</f>
        <v>#REF!</v>
      </c>
      <c r="J262" s="51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2"/>
      <c r="AT262" s="2"/>
      <c r="AU262" s="2"/>
      <c r="AV262" s="2"/>
      <c r="AW262" s="2"/>
      <c r="AX262" s="2"/>
      <c r="AY262" s="2"/>
      <c r="AZ262" s="2"/>
    </row>
    <row r="263" spans="1:52" s="4" customFormat="1" ht="26.25" customHeight="1">
      <c r="A263" s="104"/>
      <c r="B263" s="102" t="s">
        <v>157</v>
      </c>
      <c r="C263" s="102" t="s">
        <v>54</v>
      </c>
      <c r="D263" s="102">
        <f>1.15*1.38</f>
        <v>1.5869999999999997</v>
      </c>
      <c r="E263" s="103">
        <f>E261*D263</f>
        <v>1.8726599999999995</v>
      </c>
      <c r="F263" s="518"/>
      <c r="G263" s="513"/>
      <c r="H263" s="55" t="e">
        <f>#REF!/#REF!</f>
        <v>#REF!</v>
      </c>
      <c r="I263" s="27" t="e">
        <f>#REF!</f>
        <v>#REF!</v>
      </c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2"/>
      <c r="AT263" s="2"/>
      <c r="AU263" s="2"/>
      <c r="AV263" s="2"/>
      <c r="AW263" s="2"/>
      <c r="AX263" s="2"/>
      <c r="AY263" s="2"/>
      <c r="AZ263" s="2"/>
    </row>
    <row r="264" spans="1:52" s="4" customFormat="1" ht="28.5" customHeight="1">
      <c r="A264" s="104"/>
      <c r="B264" s="91" t="s">
        <v>460</v>
      </c>
      <c r="C264" s="91" t="s">
        <v>78</v>
      </c>
      <c r="D264" s="91">
        <v>1.01</v>
      </c>
      <c r="E264" s="114">
        <f>D264*E261</f>
        <v>1.1918</v>
      </c>
      <c r="F264" s="518"/>
      <c r="G264" s="513"/>
      <c r="H264" s="64"/>
      <c r="I264" s="27" t="e">
        <f>#REF!</f>
        <v>#REF!</v>
      </c>
      <c r="J264" s="64"/>
      <c r="K264" s="64"/>
      <c r="L264" s="64"/>
      <c r="M264" s="64"/>
      <c r="N264" s="64"/>
      <c r="O264" s="64"/>
      <c r="P264" s="64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2"/>
      <c r="AT264" s="2"/>
      <c r="AU264" s="2"/>
      <c r="AV264" s="2"/>
      <c r="AW264" s="2"/>
      <c r="AX264" s="2"/>
      <c r="AY264" s="2"/>
      <c r="AZ264" s="2"/>
    </row>
    <row r="265" spans="1:52" s="4" customFormat="1" ht="48.75" customHeight="1">
      <c r="A265" s="198" t="s">
        <v>657</v>
      </c>
      <c r="B265" s="133" t="s">
        <v>822</v>
      </c>
      <c r="C265" s="133" t="s">
        <v>59</v>
      </c>
      <c r="D265" s="133"/>
      <c r="E265" s="242">
        <v>2.5</v>
      </c>
      <c r="F265" s="510"/>
      <c r="G265" s="507"/>
      <c r="H265" s="55" t="e">
        <f>#REF!/#REF!</f>
        <v>#REF!</v>
      </c>
      <c r="I265" s="27" t="e">
        <f>#REF!</f>
        <v>#REF!</v>
      </c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2"/>
      <c r="AT265" s="2"/>
      <c r="AU265" s="2"/>
      <c r="AV265" s="2"/>
      <c r="AW265" s="2"/>
      <c r="AX265" s="2"/>
      <c r="AY265" s="2"/>
      <c r="AZ265" s="2"/>
    </row>
    <row r="266" spans="1:19" s="4" customFormat="1" ht="25.5" customHeight="1">
      <c r="A266" s="104"/>
      <c r="B266" s="91" t="s">
        <v>37</v>
      </c>
      <c r="C266" s="91" t="s">
        <v>44</v>
      </c>
      <c r="D266" s="91">
        <f>1.15*13.5</f>
        <v>15.524999999999999</v>
      </c>
      <c r="E266" s="116">
        <f>D266*E265</f>
        <v>38.8125</v>
      </c>
      <c r="F266" s="518"/>
      <c r="G266" s="509"/>
      <c r="H266" s="9"/>
      <c r="I266" s="27" t="e">
        <f>#REF!</f>
        <v>#REF!</v>
      </c>
      <c r="J266" s="8" t="e">
        <f>#REF!</f>
        <v>#REF!</v>
      </c>
      <c r="K266" s="5"/>
      <c r="L266" s="5"/>
      <c r="M266" s="5"/>
      <c r="N266" s="5"/>
      <c r="O266" s="5"/>
      <c r="P266" s="5"/>
      <c r="Q266" s="15"/>
      <c r="R266" s="2"/>
      <c r="S266" s="2"/>
    </row>
    <row r="267" spans="1:19" s="4" customFormat="1" ht="25.5" customHeight="1">
      <c r="A267" s="104"/>
      <c r="B267" s="91" t="s">
        <v>38</v>
      </c>
      <c r="C267" s="91" t="s">
        <v>54</v>
      </c>
      <c r="D267" s="91">
        <f>1.15*1.12</f>
        <v>1.288</v>
      </c>
      <c r="E267" s="86">
        <f>D267*E265</f>
        <v>3.22</v>
      </c>
      <c r="F267" s="518"/>
      <c r="G267" s="509"/>
      <c r="H267" s="55" t="e">
        <f>#REF!/#REF!</f>
        <v>#REF!</v>
      </c>
      <c r="I267" s="27" t="e">
        <f>#REF!</f>
        <v>#REF!</v>
      </c>
      <c r="J267" s="26"/>
      <c r="Q267" s="15"/>
      <c r="R267" s="2"/>
      <c r="S267" s="2"/>
    </row>
    <row r="268" spans="1:19" s="4" customFormat="1" ht="28.5" customHeight="1">
      <c r="A268" s="104"/>
      <c r="B268" s="91" t="s">
        <v>431</v>
      </c>
      <c r="C268" s="91" t="s">
        <v>52</v>
      </c>
      <c r="D268" s="91">
        <v>1.015</v>
      </c>
      <c r="E268" s="86">
        <f>D268*E265</f>
        <v>2.5374999999999996</v>
      </c>
      <c r="F268" s="515"/>
      <c r="G268" s="513"/>
      <c r="H268" s="64"/>
      <c r="I268" s="27" t="e">
        <f>#REF!</f>
        <v>#REF!</v>
      </c>
      <c r="J268" s="64"/>
      <c r="K268" s="64"/>
      <c r="L268" s="64"/>
      <c r="M268" s="64"/>
      <c r="N268" s="64"/>
      <c r="O268" s="64"/>
      <c r="P268" s="64"/>
      <c r="Q268" s="15"/>
      <c r="R268" s="2"/>
      <c r="S268" s="2"/>
    </row>
    <row r="269" spans="1:19" s="4" customFormat="1" ht="26.25" customHeight="1">
      <c r="A269" s="104"/>
      <c r="B269" s="91" t="s">
        <v>87</v>
      </c>
      <c r="C269" s="91" t="s">
        <v>80</v>
      </c>
      <c r="D269" s="91">
        <v>2.9</v>
      </c>
      <c r="E269" s="86">
        <f>D269*E265</f>
        <v>7.25</v>
      </c>
      <c r="F269" s="518"/>
      <c r="G269" s="509"/>
      <c r="H269" s="55" t="e">
        <f>#REF!/#REF!</f>
        <v>#REF!</v>
      </c>
      <c r="I269" s="27" t="e">
        <f>#REF!</f>
        <v>#REF!</v>
      </c>
      <c r="Q269" s="15"/>
      <c r="R269" s="2"/>
      <c r="S269" s="2"/>
    </row>
    <row r="270" spans="1:19" s="4" customFormat="1" ht="25.5" customHeight="1">
      <c r="A270" s="104"/>
      <c r="B270" s="91" t="s">
        <v>346</v>
      </c>
      <c r="C270" s="91" t="s">
        <v>52</v>
      </c>
      <c r="D270" s="91">
        <v>0.0378</v>
      </c>
      <c r="E270" s="86">
        <f>E265*D270</f>
        <v>0.0945</v>
      </c>
      <c r="F270" s="518"/>
      <c r="G270" s="509"/>
      <c r="H270" s="55"/>
      <c r="I270" s="27" t="e">
        <f>#REF!</f>
        <v>#REF!</v>
      </c>
      <c r="J270" s="57" t="e">
        <f>#REF!</f>
        <v>#REF!</v>
      </c>
      <c r="Q270" s="15"/>
      <c r="R270" s="2"/>
      <c r="S270" s="2"/>
    </row>
    <row r="271" spans="1:19" s="4" customFormat="1" ht="29.25" customHeight="1">
      <c r="A271" s="104"/>
      <c r="B271" s="91" t="s">
        <v>276</v>
      </c>
      <c r="C271" s="91" t="s">
        <v>78</v>
      </c>
      <c r="D271" s="91">
        <v>0.0023</v>
      </c>
      <c r="E271" s="112">
        <f>E265*D271</f>
        <v>0.00575</v>
      </c>
      <c r="F271" s="518"/>
      <c r="G271" s="509"/>
      <c r="H271" s="8"/>
      <c r="I271" s="27" t="e">
        <f>#REF!</f>
        <v>#REF!</v>
      </c>
      <c r="J271" s="57"/>
      <c r="Q271" s="15"/>
      <c r="R271" s="2"/>
      <c r="S271" s="2"/>
    </row>
    <row r="272" spans="1:19" s="4" customFormat="1" ht="26.25" customHeight="1">
      <c r="A272" s="104"/>
      <c r="B272" s="91" t="s">
        <v>56</v>
      </c>
      <c r="C272" s="91" t="s">
        <v>54</v>
      </c>
      <c r="D272" s="91">
        <v>0.95</v>
      </c>
      <c r="E272" s="86">
        <f>D272*E265</f>
        <v>2.375</v>
      </c>
      <c r="F272" s="518"/>
      <c r="G272" s="509"/>
      <c r="H272" s="8"/>
      <c r="I272" s="27" t="e">
        <f>#REF!</f>
        <v>#REF!</v>
      </c>
      <c r="J272" s="26"/>
      <c r="R272" s="2"/>
      <c r="S272" s="2"/>
    </row>
    <row r="273" spans="1:19" s="4" customFormat="1" ht="36" customHeight="1">
      <c r="A273" s="234">
        <v>46</v>
      </c>
      <c r="B273" s="133" t="s">
        <v>725</v>
      </c>
      <c r="C273" s="133" t="s">
        <v>78</v>
      </c>
      <c r="D273" s="133"/>
      <c r="E273" s="401">
        <v>0.3</v>
      </c>
      <c r="F273" s="510"/>
      <c r="G273" s="511"/>
      <c r="H273" s="55" t="e">
        <f>#REF!/#REF!</f>
        <v>#REF!</v>
      </c>
      <c r="I273" s="27" t="e">
        <f>#REF!</f>
        <v>#REF!</v>
      </c>
      <c r="J273" s="63"/>
      <c r="K273" s="15"/>
      <c r="L273" s="15"/>
      <c r="M273" s="15"/>
      <c r="N273" s="15"/>
      <c r="O273" s="15"/>
      <c r="P273" s="15"/>
      <c r="R273" s="2"/>
      <c r="S273" s="2"/>
    </row>
    <row r="274" spans="1:16" s="4" customFormat="1" ht="27.75" customHeight="1">
      <c r="A274" s="104"/>
      <c r="B274" s="91" t="s">
        <v>88</v>
      </c>
      <c r="C274" s="91" t="s">
        <v>78</v>
      </c>
      <c r="D274" s="91">
        <v>1.01</v>
      </c>
      <c r="E274" s="114">
        <f>E273*D274</f>
        <v>0.303</v>
      </c>
      <c r="F274" s="518"/>
      <c r="G274" s="513"/>
      <c r="H274" s="62"/>
      <c r="I274" s="27" t="e">
        <f>#REF!</f>
        <v>#REF!</v>
      </c>
      <c r="J274" s="63"/>
      <c r="K274" s="15"/>
      <c r="L274" s="15"/>
      <c r="M274" s="15"/>
      <c r="N274" s="15"/>
      <c r="O274" s="15"/>
      <c r="P274" s="15"/>
    </row>
    <row r="275" spans="1:17" s="4" customFormat="1" ht="23.25" customHeight="1">
      <c r="A275" s="104"/>
      <c r="B275" s="91" t="s">
        <v>278</v>
      </c>
      <c r="C275" s="91" t="s">
        <v>53</v>
      </c>
      <c r="D275" s="91">
        <v>3</v>
      </c>
      <c r="E275" s="114">
        <f>E273*D275</f>
        <v>0.8999999999999999</v>
      </c>
      <c r="F275" s="518"/>
      <c r="G275" s="513"/>
      <c r="H275" s="55" t="e">
        <f>#REF!/#REF!</f>
        <v>#REF!</v>
      </c>
      <c r="I275" s="27" t="e">
        <f>#REF!</f>
        <v>#REF!</v>
      </c>
      <c r="J275" s="5"/>
      <c r="K275" s="5"/>
      <c r="L275" s="5"/>
      <c r="M275" s="5"/>
      <c r="N275" s="5"/>
      <c r="O275" s="5"/>
      <c r="P275" s="5"/>
      <c r="Q275" s="5"/>
    </row>
    <row r="276" spans="1:19" s="4" customFormat="1" ht="24.75" customHeight="1">
      <c r="A276" s="104"/>
      <c r="B276" s="91" t="s">
        <v>89</v>
      </c>
      <c r="C276" s="91" t="s">
        <v>53</v>
      </c>
      <c r="D276" s="91">
        <v>4</v>
      </c>
      <c r="E276" s="114">
        <f>E273*D276</f>
        <v>1.2</v>
      </c>
      <c r="F276" s="518"/>
      <c r="G276" s="513"/>
      <c r="H276" s="32"/>
      <c r="I276" s="27" t="e">
        <f>#REF!</f>
        <v>#REF!</v>
      </c>
      <c r="J276" s="32"/>
      <c r="K276" s="32"/>
      <c r="L276" s="32"/>
      <c r="M276" s="32"/>
      <c r="N276" s="32"/>
      <c r="O276" s="32"/>
      <c r="P276" s="32"/>
      <c r="R276" s="15"/>
      <c r="S276" s="15"/>
    </row>
    <row r="277" spans="1:19" s="72" customFormat="1" ht="37.5" customHeight="1">
      <c r="A277" s="234">
        <v>47</v>
      </c>
      <c r="B277" s="133" t="s">
        <v>842</v>
      </c>
      <c r="C277" s="133" t="s">
        <v>74</v>
      </c>
      <c r="D277" s="133"/>
      <c r="E277" s="243">
        <v>323.38</v>
      </c>
      <c r="F277" s="510"/>
      <c r="G277" s="511"/>
      <c r="H277" s="32"/>
      <c r="I277" s="27" t="e">
        <f>#REF!</f>
        <v>#REF!</v>
      </c>
      <c r="J277" s="32"/>
      <c r="K277" s="32"/>
      <c r="L277" s="32"/>
      <c r="M277" s="32"/>
      <c r="N277" s="32"/>
      <c r="O277" s="32"/>
      <c r="P277" s="32"/>
      <c r="Q277" s="4"/>
      <c r="R277" s="15"/>
      <c r="S277" s="15"/>
    </row>
    <row r="278" spans="1:19" s="5" customFormat="1" ht="27" customHeight="1">
      <c r="A278" s="104"/>
      <c r="B278" s="91" t="s">
        <v>84</v>
      </c>
      <c r="C278" s="91" t="s">
        <v>74</v>
      </c>
      <c r="D278" s="91">
        <v>1</v>
      </c>
      <c r="E278" s="86">
        <f>E277*D278</f>
        <v>323.38</v>
      </c>
      <c r="F278" s="518"/>
      <c r="G278" s="513"/>
      <c r="H278" s="55" t="e">
        <f>#REF!/#REF!</f>
        <v>#REF!</v>
      </c>
      <c r="I278" s="27" t="e">
        <f>#REF!</f>
        <v>#REF!</v>
      </c>
      <c r="Q278" s="2"/>
      <c r="R278" s="15"/>
      <c r="S278" s="15"/>
    </row>
    <row r="279" spans="1:19" s="4" customFormat="1" ht="33.75" customHeight="1">
      <c r="A279" s="234">
        <v>48</v>
      </c>
      <c r="B279" s="133" t="s">
        <v>747</v>
      </c>
      <c r="C279" s="133" t="s">
        <v>74</v>
      </c>
      <c r="D279" s="133"/>
      <c r="E279" s="243">
        <v>41.4</v>
      </c>
      <c r="F279" s="510"/>
      <c r="G279" s="511"/>
      <c r="H279" s="62"/>
      <c r="I279" s="27" t="e">
        <f>#REF!</f>
        <v>#REF!</v>
      </c>
      <c r="J279" s="8" t="e">
        <f>#REF!</f>
        <v>#REF!</v>
      </c>
      <c r="Q279" s="15"/>
      <c r="R279" s="15"/>
      <c r="S279" s="15"/>
    </row>
    <row r="280" spans="1:52" s="4" customFormat="1" ht="25.5" customHeight="1">
      <c r="A280" s="104"/>
      <c r="B280" s="91" t="s">
        <v>84</v>
      </c>
      <c r="C280" s="91" t="s">
        <v>74</v>
      </c>
      <c r="D280" s="91">
        <v>1</v>
      </c>
      <c r="E280" s="86">
        <f>E279*D280</f>
        <v>41.4</v>
      </c>
      <c r="F280" s="518"/>
      <c r="G280" s="513"/>
      <c r="H280" s="62"/>
      <c r="I280" s="27" t="e">
        <f>#REF!</f>
        <v>#REF!</v>
      </c>
      <c r="Q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2"/>
      <c r="AT280" s="2"/>
      <c r="AU280" s="2"/>
      <c r="AV280" s="2"/>
      <c r="AW280" s="2"/>
      <c r="AX280" s="2"/>
      <c r="AY280" s="2"/>
      <c r="AZ280" s="2"/>
    </row>
    <row r="281" spans="1:52" s="4" customFormat="1" ht="26.25" customHeight="1">
      <c r="A281" s="234">
        <v>49</v>
      </c>
      <c r="B281" s="431" t="s">
        <v>888</v>
      </c>
      <c r="C281" s="133" t="s">
        <v>74</v>
      </c>
      <c r="D281" s="133"/>
      <c r="E281" s="243">
        <v>105.36</v>
      </c>
      <c r="F281" s="528"/>
      <c r="G281" s="529"/>
      <c r="H281" s="62"/>
      <c r="I281" s="27" t="e">
        <f>#REF!</f>
        <v>#REF!</v>
      </c>
      <c r="J281" s="2"/>
      <c r="K281" s="2"/>
      <c r="L281" s="2"/>
      <c r="M281" s="2"/>
      <c r="N281" s="2"/>
      <c r="O281" s="2"/>
      <c r="P281" s="2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2"/>
      <c r="AT281" s="2"/>
      <c r="AU281" s="2"/>
      <c r="AV281" s="2"/>
      <c r="AW281" s="2"/>
      <c r="AX281" s="2"/>
      <c r="AY281" s="2"/>
      <c r="AZ281" s="2"/>
    </row>
    <row r="282" spans="1:52" s="4" customFormat="1" ht="27.75" customHeight="1">
      <c r="A282" s="104"/>
      <c r="B282" s="91" t="s">
        <v>84</v>
      </c>
      <c r="C282" s="91" t="s">
        <v>74</v>
      </c>
      <c r="D282" s="91">
        <v>1</v>
      </c>
      <c r="E282" s="86">
        <f>E281*D282</f>
        <v>105.36</v>
      </c>
      <c r="F282" s="518"/>
      <c r="G282" s="513"/>
      <c r="H282" s="62"/>
      <c r="I282" s="27" t="e">
        <f>#REF!</f>
        <v>#REF!</v>
      </c>
      <c r="Q282" s="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2"/>
      <c r="AT282" s="2"/>
      <c r="AU282" s="2"/>
      <c r="AV282" s="2"/>
      <c r="AW282" s="2"/>
      <c r="AX282" s="2"/>
      <c r="AY282" s="2"/>
      <c r="AZ282" s="2"/>
    </row>
    <row r="283" spans="1:52" s="4" customFormat="1" ht="40.5" customHeight="1">
      <c r="A283" s="234">
        <v>50</v>
      </c>
      <c r="B283" s="133" t="s">
        <v>748</v>
      </c>
      <c r="C283" s="133" t="s">
        <v>74</v>
      </c>
      <c r="D283" s="133"/>
      <c r="E283" s="242">
        <v>57.6</v>
      </c>
      <c r="F283" s="510"/>
      <c r="G283" s="511"/>
      <c r="H283" s="55" t="e">
        <f>#REF!/#REF!</f>
        <v>#REF!</v>
      </c>
      <c r="I283" s="27" t="e">
        <f>#REF!</f>
        <v>#REF!</v>
      </c>
      <c r="J283" s="1"/>
      <c r="K283" s="1"/>
      <c r="L283" s="1"/>
      <c r="M283" s="1"/>
      <c r="N283" s="1"/>
      <c r="O283" s="1"/>
      <c r="P283" s="1"/>
      <c r="Q283" s="30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2"/>
      <c r="AT283" s="2"/>
      <c r="AU283" s="2"/>
      <c r="AV283" s="2"/>
      <c r="AW283" s="2"/>
      <c r="AX283" s="2"/>
      <c r="AY283" s="2"/>
      <c r="AZ283" s="2"/>
    </row>
    <row r="284" spans="1:17" s="15" customFormat="1" ht="26.25" customHeight="1">
      <c r="A284" s="104"/>
      <c r="B284" s="91" t="s">
        <v>84</v>
      </c>
      <c r="C284" s="91" t="s">
        <v>74</v>
      </c>
      <c r="D284" s="91">
        <v>1</v>
      </c>
      <c r="E284" s="116">
        <f>E283*D284</f>
        <v>57.6</v>
      </c>
      <c r="F284" s="518"/>
      <c r="G284" s="513"/>
      <c r="H284" s="1"/>
      <c r="I284" s="27" t="e">
        <f>#REF!</f>
        <v>#REF!</v>
      </c>
      <c r="J284" s="57" t="e">
        <f>#REF!</f>
        <v>#REF!</v>
      </c>
      <c r="K284" s="1"/>
      <c r="L284" s="1"/>
      <c r="M284" s="1"/>
      <c r="N284" s="1"/>
      <c r="O284" s="1"/>
      <c r="P284" s="1"/>
      <c r="Q284" s="30"/>
    </row>
    <row r="285" spans="1:17" s="15" customFormat="1" ht="39" customHeight="1">
      <c r="A285" s="198" t="s">
        <v>326</v>
      </c>
      <c r="B285" s="133" t="s">
        <v>802</v>
      </c>
      <c r="C285" s="133" t="s">
        <v>74</v>
      </c>
      <c r="D285" s="133"/>
      <c r="E285" s="242">
        <v>132</v>
      </c>
      <c r="F285" s="510"/>
      <c r="G285" s="511"/>
      <c r="H285" s="1"/>
      <c r="I285" s="27" t="e">
        <f>#REF!</f>
        <v>#REF!</v>
      </c>
      <c r="J285" s="1"/>
      <c r="K285" s="1"/>
      <c r="L285" s="1"/>
      <c r="M285" s="1"/>
      <c r="N285" s="1"/>
      <c r="O285" s="1"/>
      <c r="P285" s="1"/>
      <c r="Q285" s="32"/>
    </row>
    <row r="286" spans="1:17" s="15" customFormat="1" ht="25.5" customHeight="1">
      <c r="A286" s="181"/>
      <c r="B286" s="91" t="s">
        <v>176</v>
      </c>
      <c r="C286" s="91" t="s">
        <v>44</v>
      </c>
      <c r="D286" s="91">
        <f>1.15*0.388</f>
        <v>0.4462</v>
      </c>
      <c r="E286" s="86">
        <f>D286*E285</f>
        <v>58.898399999999995</v>
      </c>
      <c r="F286" s="518"/>
      <c r="G286" s="513"/>
      <c r="H286" s="1"/>
      <c r="I286" s="27" t="e">
        <f>#REF!</f>
        <v>#REF!</v>
      </c>
      <c r="J286" s="1"/>
      <c r="K286" s="1"/>
      <c r="L286" s="1"/>
      <c r="M286" s="1"/>
      <c r="N286" s="1"/>
      <c r="O286" s="1"/>
      <c r="P286" s="1"/>
      <c r="Q286" s="32"/>
    </row>
    <row r="287" spans="1:17" s="15" customFormat="1" ht="24.75" customHeight="1">
      <c r="A287" s="181"/>
      <c r="B287" s="91" t="s">
        <v>127</v>
      </c>
      <c r="C287" s="91" t="s">
        <v>54</v>
      </c>
      <c r="D287" s="91">
        <f>1.15*0.0003</f>
        <v>0.00034499999999999993</v>
      </c>
      <c r="E287" s="86">
        <f>D287*E285</f>
        <v>0.04553999999999999</v>
      </c>
      <c r="F287" s="518"/>
      <c r="G287" s="513"/>
      <c r="H287" s="1"/>
      <c r="I287" s="27" t="e">
        <f>#REF!</f>
        <v>#REF!</v>
      </c>
      <c r="J287" s="1"/>
      <c r="K287" s="1"/>
      <c r="L287" s="1"/>
      <c r="M287" s="1"/>
      <c r="N287" s="1"/>
      <c r="O287" s="1"/>
      <c r="P287" s="1"/>
      <c r="Q287" s="33"/>
    </row>
    <row r="288" spans="1:19" s="15" customFormat="1" ht="30" customHeight="1">
      <c r="A288" s="181"/>
      <c r="B288" s="91" t="s">
        <v>767</v>
      </c>
      <c r="C288" s="91" t="s">
        <v>94</v>
      </c>
      <c r="D288" s="91">
        <v>0.24600000000000002</v>
      </c>
      <c r="E288" s="86">
        <f>D288*E285</f>
        <v>32.472</v>
      </c>
      <c r="F288" s="518"/>
      <c r="G288" s="513"/>
      <c r="H288" s="55" t="e">
        <f>#REF!/#REF!</f>
        <v>#REF!</v>
      </c>
      <c r="I288" s="27" t="e">
        <f>#REF!</f>
        <v>#REF!</v>
      </c>
      <c r="J288" s="1"/>
      <c r="K288" s="1"/>
      <c r="L288" s="1"/>
      <c r="M288" s="1"/>
      <c r="N288" s="1"/>
      <c r="O288" s="1"/>
      <c r="P288" s="1"/>
      <c r="Q288" s="5"/>
      <c r="R288" s="4"/>
      <c r="S288" s="4"/>
    </row>
    <row r="289" spans="1:19" s="15" customFormat="1" ht="21.75" customHeight="1">
      <c r="A289" s="181"/>
      <c r="B289" s="91" t="s">
        <v>129</v>
      </c>
      <c r="C289" s="91" t="s">
        <v>94</v>
      </c>
      <c r="D289" s="91">
        <v>0.027000000000000003</v>
      </c>
      <c r="E289" s="86">
        <f>D289*E285</f>
        <v>3.5640000000000005</v>
      </c>
      <c r="F289" s="518"/>
      <c r="G289" s="513"/>
      <c r="H289" s="10"/>
      <c r="I289" s="27" t="e">
        <f>#REF!</f>
        <v>#REF!</v>
      </c>
      <c r="J289" s="53" t="e">
        <f>#REF!</f>
        <v>#REF!</v>
      </c>
      <c r="K289" s="3"/>
      <c r="L289" s="3"/>
      <c r="M289" s="3"/>
      <c r="N289" s="3"/>
      <c r="O289" s="3"/>
      <c r="P289" s="3"/>
      <c r="Q289" s="30"/>
      <c r="R289" s="4"/>
      <c r="S289" s="4"/>
    </row>
    <row r="290" spans="1:19" s="15" customFormat="1" ht="23.25" customHeight="1">
      <c r="A290" s="181"/>
      <c r="B290" s="91" t="s">
        <v>56</v>
      </c>
      <c r="C290" s="91" t="s">
        <v>54</v>
      </c>
      <c r="D290" s="91">
        <v>0.0019</v>
      </c>
      <c r="E290" s="86">
        <f>D290*E285</f>
        <v>0.2508</v>
      </c>
      <c r="F290" s="518"/>
      <c r="G290" s="513"/>
      <c r="H290" s="58"/>
      <c r="I290" s="27" t="e">
        <f>#REF!</f>
        <v>#REF!</v>
      </c>
      <c r="J290" s="1"/>
      <c r="K290" s="1"/>
      <c r="L290" s="1"/>
      <c r="M290" s="1"/>
      <c r="N290" s="1"/>
      <c r="O290" s="1"/>
      <c r="P290" s="1"/>
      <c r="Q290" s="33"/>
      <c r="R290" s="4"/>
      <c r="S290" s="4"/>
    </row>
    <row r="291" spans="1:19" s="15" customFormat="1" ht="51.75" customHeight="1">
      <c r="A291" s="198" t="s">
        <v>659</v>
      </c>
      <c r="B291" s="245" t="s">
        <v>770</v>
      </c>
      <c r="C291" s="245" t="s">
        <v>61</v>
      </c>
      <c r="D291" s="245"/>
      <c r="E291" s="351">
        <v>135.5</v>
      </c>
      <c r="F291" s="510"/>
      <c r="G291" s="511"/>
      <c r="H291" s="10"/>
      <c r="I291" s="27" t="e">
        <f>#REF!</f>
        <v>#REF!</v>
      </c>
      <c r="J291" s="3"/>
      <c r="K291" s="3"/>
      <c r="L291" s="3"/>
      <c r="M291" s="3"/>
      <c r="N291" s="3"/>
      <c r="O291" s="3"/>
      <c r="P291" s="3"/>
      <c r="Q291" s="5"/>
      <c r="R291" s="64"/>
      <c r="S291" s="64"/>
    </row>
    <row r="292" spans="1:7" ht="25.5" customHeight="1">
      <c r="A292" s="104"/>
      <c r="B292" s="102" t="s">
        <v>281</v>
      </c>
      <c r="C292" s="102" t="s">
        <v>61</v>
      </c>
      <c r="D292" s="102">
        <v>1</v>
      </c>
      <c r="E292" s="246">
        <f>D292*E291</f>
        <v>135.5</v>
      </c>
      <c r="F292" s="518"/>
      <c r="G292" s="513"/>
    </row>
    <row r="293" spans="1:7" ht="44.25" customHeight="1">
      <c r="A293" s="198" t="s">
        <v>475</v>
      </c>
      <c r="B293" s="133" t="s">
        <v>114</v>
      </c>
      <c r="C293" s="133" t="s">
        <v>61</v>
      </c>
      <c r="D293" s="133"/>
      <c r="E293" s="242">
        <v>1873</v>
      </c>
      <c r="F293" s="510"/>
      <c r="G293" s="511"/>
    </row>
    <row r="294" spans="1:7" ht="30.75" customHeight="1">
      <c r="A294" s="104"/>
      <c r="B294" s="91" t="s">
        <v>159</v>
      </c>
      <c r="C294" s="91" t="s">
        <v>44</v>
      </c>
      <c r="D294" s="91">
        <f>1.15*0.3</f>
        <v>0.345</v>
      </c>
      <c r="E294" s="86">
        <f>D294*E293</f>
        <v>646.185</v>
      </c>
      <c r="F294" s="518"/>
      <c r="G294" s="513"/>
    </row>
    <row r="295" spans="1:7" ht="20.25" customHeight="1">
      <c r="A295" s="104"/>
      <c r="B295" s="91" t="s">
        <v>115</v>
      </c>
      <c r="C295" s="91" t="s">
        <v>54</v>
      </c>
      <c r="D295" s="91">
        <f>1.15*0.011</f>
        <v>0.012649999999999998</v>
      </c>
      <c r="E295" s="86">
        <f>D295*E293</f>
        <v>23.693449999999995</v>
      </c>
      <c r="F295" s="518"/>
      <c r="G295" s="513"/>
    </row>
    <row r="296" spans="1:7" ht="20.25" customHeight="1">
      <c r="A296" s="104"/>
      <c r="B296" s="91" t="s">
        <v>102</v>
      </c>
      <c r="C296" s="91" t="s">
        <v>52</v>
      </c>
      <c r="D296" s="91">
        <v>0.0067</v>
      </c>
      <c r="E296" s="86">
        <f>D296*E293</f>
        <v>12.549100000000001</v>
      </c>
      <c r="F296" s="518"/>
      <c r="G296" s="513"/>
    </row>
    <row r="297" spans="1:7" ht="61.5" customHeight="1">
      <c r="A297" s="198" t="s">
        <v>296</v>
      </c>
      <c r="B297" s="431" t="s">
        <v>889</v>
      </c>
      <c r="C297" s="133" t="s">
        <v>61</v>
      </c>
      <c r="D297" s="133"/>
      <c r="E297" s="242">
        <v>288</v>
      </c>
      <c r="F297" s="510"/>
      <c r="G297" s="511"/>
    </row>
    <row r="298" spans="1:7" ht="26.25" customHeight="1">
      <c r="A298" s="104"/>
      <c r="B298" s="91" t="s">
        <v>280</v>
      </c>
      <c r="C298" s="91" t="s">
        <v>61</v>
      </c>
      <c r="D298" s="91">
        <f>1.15*0.74</f>
        <v>0.851</v>
      </c>
      <c r="E298" s="86">
        <f>D298*E297</f>
        <v>245.088</v>
      </c>
      <c r="F298" s="518"/>
      <c r="G298" s="513"/>
    </row>
    <row r="299" spans="1:7" ht="21.75" customHeight="1">
      <c r="A299" s="104"/>
      <c r="B299" s="91" t="s">
        <v>279</v>
      </c>
      <c r="C299" s="91" t="s">
        <v>54</v>
      </c>
      <c r="D299" s="91">
        <f>1.15*0.0662</f>
        <v>0.07612999999999999</v>
      </c>
      <c r="E299" s="86">
        <f>D299*E297</f>
        <v>21.92544</v>
      </c>
      <c r="F299" s="518"/>
      <c r="G299" s="513"/>
    </row>
    <row r="300" spans="1:7" ht="30.75" customHeight="1">
      <c r="A300" s="104"/>
      <c r="B300" s="91" t="s">
        <v>454</v>
      </c>
      <c r="C300" s="91" t="s">
        <v>94</v>
      </c>
      <c r="D300" s="112">
        <f>0.35*3.925*1.05</f>
        <v>1.4424374999999998</v>
      </c>
      <c r="E300" s="86">
        <f>E297*D300</f>
        <v>415.42199999999997</v>
      </c>
      <c r="F300" s="518"/>
      <c r="G300" s="513"/>
    </row>
    <row r="301" spans="1:7" ht="24.75" customHeight="1">
      <c r="A301" s="104"/>
      <c r="B301" s="91" t="s">
        <v>161</v>
      </c>
      <c r="C301" s="91" t="s">
        <v>162</v>
      </c>
      <c r="D301" s="91">
        <v>0.1</v>
      </c>
      <c r="E301" s="86">
        <f>E297*D301</f>
        <v>28.8</v>
      </c>
      <c r="F301" s="518"/>
      <c r="G301" s="513"/>
    </row>
    <row r="302" spans="1:7" ht="24.75" customHeight="1">
      <c r="A302" s="104"/>
      <c r="B302" s="91" t="s">
        <v>56</v>
      </c>
      <c r="C302" s="91" t="s">
        <v>54</v>
      </c>
      <c r="D302" s="91">
        <v>0.133</v>
      </c>
      <c r="E302" s="86">
        <f>D302*E297</f>
        <v>38.304</v>
      </c>
      <c r="F302" s="518"/>
      <c r="G302" s="513"/>
    </row>
    <row r="303" spans="1:7" ht="34.5" customHeight="1">
      <c r="A303" s="198" t="s">
        <v>39</v>
      </c>
      <c r="B303" s="431" t="s">
        <v>890</v>
      </c>
      <c r="C303" s="133" t="s">
        <v>74</v>
      </c>
      <c r="D303" s="133"/>
      <c r="E303" s="242">
        <v>663.2</v>
      </c>
      <c r="F303" s="510"/>
      <c r="G303" s="511"/>
    </row>
    <row r="304" spans="1:7" ht="24" customHeight="1">
      <c r="A304" s="104"/>
      <c r="B304" s="91" t="s">
        <v>163</v>
      </c>
      <c r="C304" s="91" t="s">
        <v>44</v>
      </c>
      <c r="D304" s="91">
        <f>1.15*0.312</f>
        <v>0.35879999999999995</v>
      </c>
      <c r="E304" s="86">
        <f>D304*E303</f>
        <v>237.95615999999998</v>
      </c>
      <c r="F304" s="518"/>
      <c r="G304" s="513"/>
    </row>
    <row r="305" spans="1:7" ht="22.5" customHeight="1">
      <c r="A305" s="104"/>
      <c r="B305" s="91" t="s">
        <v>120</v>
      </c>
      <c r="C305" s="91" t="s">
        <v>54</v>
      </c>
      <c r="D305" s="91">
        <f>1.15*0.0138</f>
        <v>0.01587</v>
      </c>
      <c r="E305" s="122">
        <f>E303*D305</f>
        <v>10.524984</v>
      </c>
      <c r="F305" s="519"/>
      <c r="G305" s="509"/>
    </row>
    <row r="306" spans="1:7" ht="24" customHeight="1">
      <c r="A306" s="104"/>
      <c r="B306" s="432" t="s">
        <v>891</v>
      </c>
      <c r="C306" s="91" t="s">
        <v>80</v>
      </c>
      <c r="D306" s="91">
        <v>2.24</v>
      </c>
      <c r="E306" s="166">
        <f>E303*D306</f>
        <v>1485.5680000000002</v>
      </c>
      <c r="F306" s="518"/>
      <c r="G306" s="509"/>
    </row>
    <row r="307" spans="1:7" ht="15.75">
      <c r="A307" s="104"/>
      <c r="B307" s="91" t="s">
        <v>282</v>
      </c>
      <c r="C307" s="91" t="s">
        <v>94</v>
      </c>
      <c r="D307" s="91">
        <v>0.2</v>
      </c>
      <c r="E307" s="166">
        <f>E303*D307</f>
        <v>132.64000000000001</v>
      </c>
      <c r="F307" s="518"/>
      <c r="G307" s="509"/>
    </row>
    <row r="308" spans="1:7" ht="21" customHeight="1">
      <c r="A308" s="104"/>
      <c r="B308" s="91" t="s">
        <v>99</v>
      </c>
      <c r="C308" s="91" t="s">
        <v>94</v>
      </c>
      <c r="D308" s="91">
        <v>0.76</v>
      </c>
      <c r="E308" s="122">
        <f>E303*D308</f>
        <v>504.03200000000004</v>
      </c>
      <c r="F308" s="518"/>
      <c r="G308" s="509"/>
    </row>
    <row r="309" spans="1:7" ht="18.75" customHeight="1">
      <c r="A309" s="104"/>
      <c r="B309" s="91" t="s">
        <v>56</v>
      </c>
      <c r="C309" s="91" t="s">
        <v>54</v>
      </c>
      <c r="D309" s="91">
        <v>0.0019</v>
      </c>
      <c r="E309" s="122">
        <f>E303*D309</f>
        <v>1.26008</v>
      </c>
      <c r="F309" s="519"/>
      <c r="G309" s="509"/>
    </row>
    <row r="310" spans="1:7" ht="42" customHeight="1">
      <c r="A310" s="198" t="s">
        <v>283</v>
      </c>
      <c r="B310" s="133" t="s">
        <v>106</v>
      </c>
      <c r="C310" s="410" t="s">
        <v>77</v>
      </c>
      <c r="D310" s="133"/>
      <c r="E310" s="242">
        <v>1619.2</v>
      </c>
      <c r="F310" s="510"/>
      <c r="G310" s="511"/>
    </row>
    <row r="311" spans="1:7" ht="17.25" customHeight="1">
      <c r="A311" s="181"/>
      <c r="B311" s="91" t="s">
        <v>164</v>
      </c>
      <c r="C311" s="91" t="s">
        <v>44</v>
      </c>
      <c r="D311" s="91">
        <f>1.15*(18.8+3*0.34)/100</f>
        <v>0.22793</v>
      </c>
      <c r="E311" s="103">
        <f>D311*E310</f>
        <v>369.064256</v>
      </c>
      <c r="F311" s="518"/>
      <c r="G311" s="513"/>
    </row>
    <row r="312" spans="1:7" ht="23.25" customHeight="1">
      <c r="A312" s="181"/>
      <c r="B312" s="91" t="s">
        <v>103</v>
      </c>
      <c r="C312" s="91" t="s">
        <v>54</v>
      </c>
      <c r="D312" s="91">
        <f>1.15*(0.95+3*0.23)/100</f>
        <v>0.01886</v>
      </c>
      <c r="E312" s="86">
        <f>D312*E310</f>
        <v>30.538111999999998</v>
      </c>
      <c r="F312" s="518"/>
      <c r="G312" s="513"/>
    </row>
    <row r="313" spans="1:7" ht="24.75" customHeight="1">
      <c r="A313" s="181"/>
      <c r="B313" s="91" t="s">
        <v>104</v>
      </c>
      <c r="C313" s="91" t="s">
        <v>59</v>
      </c>
      <c r="D313" s="91">
        <f>(2.04+3*0.51)/100</f>
        <v>0.0357</v>
      </c>
      <c r="E313" s="86">
        <f>D313*E310</f>
        <v>57.805440000000004</v>
      </c>
      <c r="F313" s="518"/>
      <c r="G313" s="513"/>
    </row>
    <row r="314" spans="1:7" ht="22.5" customHeight="1">
      <c r="A314" s="181"/>
      <c r="B314" s="91" t="s">
        <v>56</v>
      </c>
      <c r="C314" s="91" t="s">
        <v>54</v>
      </c>
      <c r="D314" s="91">
        <v>0.0636</v>
      </c>
      <c r="E314" s="86">
        <f>D314*E310</f>
        <v>102.98112</v>
      </c>
      <c r="F314" s="518"/>
      <c r="G314" s="513"/>
    </row>
    <row r="315" spans="1:7" ht="73.5" customHeight="1">
      <c r="A315" s="350" t="s">
        <v>314</v>
      </c>
      <c r="B315" s="245" t="s">
        <v>766</v>
      </c>
      <c r="C315" s="245" t="s">
        <v>74</v>
      </c>
      <c r="D315" s="245"/>
      <c r="E315" s="351">
        <v>1055.4</v>
      </c>
      <c r="F315" s="510"/>
      <c r="G315" s="511"/>
    </row>
    <row r="316" spans="1:7" ht="23.25" customHeight="1">
      <c r="A316" s="189"/>
      <c r="B316" s="190" t="s">
        <v>284</v>
      </c>
      <c r="C316" s="190" t="s">
        <v>44</v>
      </c>
      <c r="D316" s="190">
        <f>1.15*0.536</f>
        <v>0.6164</v>
      </c>
      <c r="E316" s="343">
        <f>D316*E315</f>
        <v>650.54856</v>
      </c>
      <c r="F316" s="518"/>
      <c r="G316" s="513"/>
    </row>
    <row r="317" spans="1:7" ht="22.5" customHeight="1">
      <c r="A317" s="189"/>
      <c r="B317" s="190" t="s">
        <v>285</v>
      </c>
      <c r="C317" s="190" t="s">
        <v>54</v>
      </c>
      <c r="D317" s="190">
        <f>1.15*0.0365</f>
        <v>0.04197499999999999</v>
      </c>
      <c r="E317" s="343">
        <f>D317*E315</f>
        <v>44.300414999999994</v>
      </c>
      <c r="F317" s="518"/>
      <c r="G317" s="513"/>
    </row>
    <row r="318" spans="1:7" ht="27">
      <c r="A318" s="189"/>
      <c r="B318" s="190" t="s">
        <v>286</v>
      </c>
      <c r="C318" s="190" t="s">
        <v>80</v>
      </c>
      <c r="D318" s="190">
        <v>1.02</v>
      </c>
      <c r="E318" s="343">
        <f>D318*E315</f>
        <v>1076.508</v>
      </c>
      <c r="F318" s="518"/>
      <c r="G318" s="513"/>
    </row>
    <row r="319" spans="1:7" ht="23.25" customHeight="1">
      <c r="A319" s="189"/>
      <c r="B319" s="190" t="s">
        <v>287</v>
      </c>
      <c r="C319" s="190" t="s">
        <v>54</v>
      </c>
      <c r="D319" s="190">
        <v>0.107</v>
      </c>
      <c r="E319" s="343">
        <f>D319*E315</f>
        <v>112.9278</v>
      </c>
      <c r="F319" s="518"/>
      <c r="G319" s="513"/>
    </row>
    <row r="320" spans="1:7" ht="27">
      <c r="A320" s="198" t="s">
        <v>315</v>
      </c>
      <c r="B320" s="133" t="s">
        <v>759</v>
      </c>
      <c r="C320" s="133" t="s">
        <v>74</v>
      </c>
      <c r="D320" s="133"/>
      <c r="E320" s="242">
        <v>234</v>
      </c>
      <c r="F320" s="510"/>
      <c r="G320" s="511"/>
    </row>
    <row r="321" spans="1:7" ht="22.5" customHeight="1">
      <c r="A321" s="104"/>
      <c r="B321" s="91" t="s">
        <v>15</v>
      </c>
      <c r="C321" s="91" t="s">
        <v>44</v>
      </c>
      <c r="D321" s="91">
        <f>1.3*2.42</f>
        <v>3.146</v>
      </c>
      <c r="E321" s="86">
        <f>D321*E320</f>
        <v>736.164</v>
      </c>
      <c r="F321" s="518"/>
      <c r="G321" s="513"/>
    </row>
    <row r="322" spans="1:7" ht="24" customHeight="1">
      <c r="A322" s="104"/>
      <c r="B322" s="91" t="s">
        <v>16</v>
      </c>
      <c r="C322" s="91" t="s">
        <v>54</v>
      </c>
      <c r="D322" s="114">
        <f>1.3*0.045</f>
        <v>0.058499999999999996</v>
      </c>
      <c r="E322" s="86">
        <f>D322*E320</f>
        <v>13.689</v>
      </c>
      <c r="F322" s="518"/>
      <c r="G322" s="513"/>
    </row>
    <row r="323" spans="1:7" ht="23.25" customHeight="1">
      <c r="A323" s="104"/>
      <c r="B323" s="91" t="s">
        <v>757</v>
      </c>
      <c r="C323" s="91" t="s">
        <v>80</v>
      </c>
      <c r="D323" s="114">
        <v>1.02</v>
      </c>
      <c r="E323" s="86">
        <f>D323*E320</f>
        <v>238.68</v>
      </c>
      <c r="F323" s="518"/>
      <c r="G323" s="513"/>
    </row>
    <row r="324" spans="1:7" ht="22.5" customHeight="1">
      <c r="A324" s="104"/>
      <c r="B324" s="91" t="s">
        <v>105</v>
      </c>
      <c r="C324" s="91" t="s">
        <v>94</v>
      </c>
      <c r="D324" s="91">
        <v>8</v>
      </c>
      <c r="E324" s="86">
        <f>D324*E320</f>
        <v>1872</v>
      </c>
      <c r="F324" s="518"/>
      <c r="G324" s="513"/>
    </row>
    <row r="325" spans="1:7" ht="15.75">
      <c r="A325" s="104"/>
      <c r="B325" s="91" t="s">
        <v>287</v>
      </c>
      <c r="C325" s="91" t="s">
        <v>54</v>
      </c>
      <c r="D325" s="114">
        <v>0.043</v>
      </c>
      <c r="E325" s="86">
        <f>D325*E320</f>
        <v>10.062</v>
      </c>
      <c r="F325" s="518"/>
      <c r="G325" s="513"/>
    </row>
    <row r="326" spans="1:7" ht="48" customHeight="1">
      <c r="A326" s="198" t="s">
        <v>471</v>
      </c>
      <c r="B326" s="133" t="s">
        <v>473</v>
      </c>
      <c r="C326" s="133" t="s">
        <v>61</v>
      </c>
      <c r="D326" s="133"/>
      <c r="E326" s="351">
        <v>153</v>
      </c>
      <c r="F326" s="510"/>
      <c r="G326" s="511"/>
    </row>
    <row r="327" spans="1:7" ht="21.75" customHeight="1">
      <c r="A327" s="104"/>
      <c r="B327" s="91" t="s">
        <v>289</v>
      </c>
      <c r="C327" s="91" t="s">
        <v>44</v>
      </c>
      <c r="D327" s="91">
        <f>1.15*0.269</f>
        <v>0.30935</v>
      </c>
      <c r="E327" s="86">
        <f>D327*E326</f>
        <v>47.33055</v>
      </c>
      <c r="F327" s="518"/>
      <c r="G327" s="513"/>
    </row>
    <row r="328" spans="1:7" ht="15.75">
      <c r="A328" s="104"/>
      <c r="B328" s="91" t="s">
        <v>290</v>
      </c>
      <c r="C328" s="91" t="s">
        <v>54</v>
      </c>
      <c r="D328" s="125">
        <f>1.15*0.0116</f>
        <v>0.013339999999999998</v>
      </c>
      <c r="E328" s="86">
        <f>D328*E326</f>
        <v>2.0410199999999996</v>
      </c>
      <c r="F328" s="518"/>
      <c r="G328" s="513"/>
    </row>
    <row r="329" spans="1:7" ht="15.75">
      <c r="A329" s="104"/>
      <c r="B329" s="91" t="s">
        <v>474</v>
      </c>
      <c r="C329" s="91" t="s">
        <v>80</v>
      </c>
      <c r="D329" s="114">
        <v>0.102</v>
      </c>
      <c r="E329" s="86">
        <f>D329*E326</f>
        <v>15.606</v>
      </c>
      <c r="F329" s="518"/>
      <c r="G329" s="513"/>
    </row>
    <row r="330" spans="1:7" ht="15.75">
      <c r="A330" s="104"/>
      <c r="B330" s="91" t="s">
        <v>105</v>
      </c>
      <c r="C330" s="91" t="s">
        <v>94</v>
      </c>
      <c r="D330" s="114">
        <f>8*0.1</f>
        <v>0.8</v>
      </c>
      <c r="E330" s="86">
        <f>D330*E326</f>
        <v>122.4</v>
      </c>
      <c r="F330" s="518"/>
      <c r="G330" s="513"/>
    </row>
    <row r="331" spans="1:7" ht="27">
      <c r="A331" s="234">
        <v>60</v>
      </c>
      <c r="B331" s="133" t="s">
        <v>166</v>
      </c>
      <c r="C331" s="410" t="s">
        <v>77</v>
      </c>
      <c r="D331" s="133"/>
      <c r="E331" s="242">
        <v>83.2</v>
      </c>
      <c r="F331" s="510"/>
      <c r="G331" s="511"/>
    </row>
    <row r="332" spans="1:7" ht="15.75" customHeight="1">
      <c r="A332" s="104"/>
      <c r="B332" s="91" t="s">
        <v>165</v>
      </c>
      <c r="C332" s="91" t="s">
        <v>44</v>
      </c>
      <c r="D332" s="91">
        <f>1.15*1.08</f>
        <v>1.242</v>
      </c>
      <c r="E332" s="86">
        <f>D332*E331</f>
        <v>103.3344</v>
      </c>
      <c r="F332" s="518"/>
      <c r="G332" s="513"/>
    </row>
    <row r="333" spans="1:7" ht="17.25" customHeight="1">
      <c r="A333" s="104"/>
      <c r="B333" s="91" t="s">
        <v>85</v>
      </c>
      <c r="C333" s="91" t="s">
        <v>54</v>
      </c>
      <c r="D333" s="91">
        <f>1.15*0.0452</f>
        <v>0.05197999999999999</v>
      </c>
      <c r="E333" s="86">
        <f>D333*E331</f>
        <v>4.324736</v>
      </c>
      <c r="F333" s="518"/>
      <c r="G333" s="513"/>
    </row>
    <row r="334" spans="1:7" ht="15.75">
      <c r="A334" s="104"/>
      <c r="B334" s="91" t="s">
        <v>758</v>
      </c>
      <c r="C334" s="91" t="s">
        <v>74</v>
      </c>
      <c r="D334" s="91">
        <v>1.02</v>
      </c>
      <c r="E334" s="86">
        <f>D334*E331</f>
        <v>84.864</v>
      </c>
      <c r="F334" s="518"/>
      <c r="G334" s="513"/>
    </row>
    <row r="335" spans="1:7" ht="15.75">
      <c r="A335" s="104"/>
      <c r="B335" s="91" t="s">
        <v>105</v>
      </c>
      <c r="C335" s="91" t="s">
        <v>94</v>
      </c>
      <c r="D335" s="91">
        <v>8</v>
      </c>
      <c r="E335" s="86">
        <f>D335*E331</f>
        <v>665.6</v>
      </c>
      <c r="F335" s="518"/>
      <c r="G335" s="513"/>
    </row>
    <row r="336" spans="1:7" ht="15.75">
      <c r="A336" s="104"/>
      <c r="B336" s="91" t="s">
        <v>56</v>
      </c>
      <c r="C336" s="91" t="s">
        <v>54</v>
      </c>
      <c r="D336" s="91">
        <v>0.0466</v>
      </c>
      <c r="E336" s="86">
        <f>D336*E331</f>
        <v>3.87712</v>
      </c>
      <c r="F336" s="518"/>
      <c r="G336" s="513"/>
    </row>
    <row r="337" spans="1:7" ht="27">
      <c r="A337" s="198" t="s">
        <v>771</v>
      </c>
      <c r="B337" s="133" t="s">
        <v>432</v>
      </c>
      <c r="C337" s="133" t="s">
        <v>74</v>
      </c>
      <c r="D337" s="133"/>
      <c r="E337" s="243">
        <v>206.3</v>
      </c>
      <c r="F337" s="510"/>
      <c r="G337" s="507"/>
    </row>
    <row r="338" spans="1:7" ht="16.5" customHeight="1">
      <c r="A338" s="181"/>
      <c r="B338" s="91" t="s">
        <v>435</v>
      </c>
      <c r="C338" s="91" t="s">
        <v>44</v>
      </c>
      <c r="D338" s="91">
        <v>0.293</v>
      </c>
      <c r="E338" s="86">
        <f>E337*D338</f>
        <v>60.4459</v>
      </c>
      <c r="F338" s="518"/>
      <c r="G338" s="509"/>
    </row>
    <row r="339" spans="1:7" ht="15.75">
      <c r="A339" s="181"/>
      <c r="B339" s="91" t="s">
        <v>436</v>
      </c>
      <c r="C339" s="91" t="s">
        <v>54</v>
      </c>
      <c r="D339" s="91">
        <v>0.0114</v>
      </c>
      <c r="E339" s="86">
        <f>D339*E337</f>
        <v>2.35182</v>
      </c>
      <c r="F339" s="518"/>
      <c r="G339" s="509"/>
    </row>
    <row r="340" spans="1:7" ht="20.25" customHeight="1">
      <c r="A340" s="181"/>
      <c r="B340" s="91" t="s">
        <v>433</v>
      </c>
      <c r="C340" s="91" t="s">
        <v>233</v>
      </c>
      <c r="D340" s="91">
        <v>0.0082</v>
      </c>
      <c r="E340" s="86">
        <f>D340*E337</f>
        <v>1.6916600000000002</v>
      </c>
      <c r="F340" s="518"/>
      <c r="G340" s="509"/>
    </row>
    <row r="341" spans="1:7" ht="14.25" customHeight="1">
      <c r="A341" s="181"/>
      <c r="B341" s="91" t="s">
        <v>68</v>
      </c>
      <c r="C341" s="91" t="s">
        <v>54</v>
      </c>
      <c r="D341" s="91">
        <v>0.0061</v>
      </c>
      <c r="E341" s="86">
        <f>E337*D341</f>
        <v>1.2584300000000002</v>
      </c>
      <c r="F341" s="518"/>
      <c r="G341" s="509"/>
    </row>
    <row r="342" spans="1:7" ht="45.75" customHeight="1">
      <c r="A342" s="198" t="s">
        <v>476</v>
      </c>
      <c r="B342" s="245" t="s">
        <v>461</v>
      </c>
      <c r="C342" s="133" t="s">
        <v>77</v>
      </c>
      <c r="D342" s="133"/>
      <c r="E342" s="243">
        <v>206.3</v>
      </c>
      <c r="F342" s="510"/>
      <c r="G342" s="507"/>
    </row>
    <row r="343" spans="1:7" ht="15.75">
      <c r="A343" s="181"/>
      <c r="B343" s="91" t="s">
        <v>437</v>
      </c>
      <c r="C343" s="91" t="s">
        <v>44</v>
      </c>
      <c r="D343" s="91">
        <v>0.2611</v>
      </c>
      <c r="E343" s="86">
        <f>E342*D343</f>
        <v>53.86493</v>
      </c>
      <c r="F343" s="518"/>
      <c r="G343" s="509"/>
    </row>
    <row r="344" spans="1:7" ht="15.75">
      <c r="A344" s="181"/>
      <c r="B344" s="91" t="s">
        <v>438</v>
      </c>
      <c r="C344" s="91" t="s">
        <v>54</v>
      </c>
      <c r="D344" s="91">
        <v>0.0316</v>
      </c>
      <c r="E344" s="86">
        <f>D344*E342</f>
        <v>6.519080000000001</v>
      </c>
      <c r="F344" s="518"/>
      <c r="G344" s="509"/>
    </row>
    <row r="345" spans="1:7" ht="15.75">
      <c r="A345" s="181"/>
      <c r="B345" s="91" t="s">
        <v>439</v>
      </c>
      <c r="C345" s="91" t="s">
        <v>80</v>
      </c>
      <c r="D345" s="91">
        <v>1.05</v>
      </c>
      <c r="E345" s="86">
        <f>D345*E342</f>
        <v>216.615</v>
      </c>
      <c r="F345" s="518"/>
      <c r="G345" s="509"/>
    </row>
    <row r="346" spans="1:7" ht="17.25" customHeight="1">
      <c r="A346" s="181"/>
      <c r="B346" s="91" t="s">
        <v>19</v>
      </c>
      <c r="C346" s="91" t="s">
        <v>94</v>
      </c>
      <c r="D346" s="91">
        <v>0.07</v>
      </c>
      <c r="E346" s="86">
        <f>D346*E342</f>
        <v>14.441000000000003</v>
      </c>
      <c r="F346" s="518"/>
      <c r="G346" s="509"/>
    </row>
    <row r="347" spans="1:7" ht="27">
      <c r="A347" s="350" t="s">
        <v>772</v>
      </c>
      <c r="B347" s="245" t="s">
        <v>849</v>
      </c>
      <c r="C347" s="357" t="s">
        <v>153</v>
      </c>
      <c r="D347" s="245"/>
      <c r="E347" s="242">
        <v>206.3</v>
      </c>
      <c r="F347" s="510"/>
      <c r="G347" s="507"/>
    </row>
    <row r="348" spans="1:7" ht="20.25" customHeight="1">
      <c r="A348" s="236"/>
      <c r="B348" s="102" t="s">
        <v>17</v>
      </c>
      <c r="C348" s="102" t="s">
        <v>44</v>
      </c>
      <c r="D348" s="102">
        <f>1.15*0.851</f>
        <v>0.9786499999999999</v>
      </c>
      <c r="E348" s="103">
        <f>D348*E347</f>
        <v>201.89549499999998</v>
      </c>
      <c r="F348" s="518"/>
      <c r="G348" s="509"/>
    </row>
    <row r="349" spans="1:7" ht="18" customHeight="1">
      <c r="A349" s="236"/>
      <c r="B349" s="102" t="s">
        <v>18</v>
      </c>
      <c r="C349" s="102" t="s">
        <v>54</v>
      </c>
      <c r="D349" s="102">
        <f>1.15*0.0483</f>
        <v>0.055545</v>
      </c>
      <c r="E349" s="103">
        <f>D349*E347</f>
        <v>11.4589335</v>
      </c>
      <c r="F349" s="518"/>
      <c r="G349" s="509"/>
    </row>
    <row r="350" spans="1:7" ht="21" customHeight="1">
      <c r="A350" s="236"/>
      <c r="B350" s="91" t="s">
        <v>440</v>
      </c>
      <c r="C350" s="91" t="s">
        <v>80</v>
      </c>
      <c r="D350" s="91">
        <v>1.05</v>
      </c>
      <c r="E350" s="86">
        <f>D350*E347</f>
        <v>216.615</v>
      </c>
      <c r="F350" s="518"/>
      <c r="G350" s="509"/>
    </row>
    <row r="351" spans="1:7" ht="15.75">
      <c r="A351" s="236"/>
      <c r="B351" s="102" t="s">
        <v>19</v>
      </c>
      <c r="C351" s="102" t="s">
        <v>94</v>
      </c>
      <c r="D351" s="102">
        <v>0.233</v>
      </c>
      <c r="E351" s="103">
        <f>D351*E347</f>
        <v>48.06790000000001</v>
      </c>
      <c r="F351" s="518"/>
      <c r="G351" s="509"/>
    </row>
    <row r="352" spans="1:7" ht="52.5" customHeight="1">
      <c r="A352" s="198" t="s">
        <v>477</v>
      </c>
      <c r="B352" s="133" t="s">
        <v>434</v>
      </c>
      <c r="C352" s="133" t="s">
        <v>79</v>
      </c>
      <c r="D352" s="133"/>
      <c r="E352" s="242">
        <v>64.1</v>
      </c>
      <c r="F352" s="510"/>
      <c r="G352" s="511"/>
    </row>
    <row r="353" spans="1:7" ht="25.5" customHeight="1">
      <c r="A353" s="181"/>
      <c r="B353" s="91" t="s">
        <v>20</v>
      </c>
      <c r="C353" s="91" t="s">
        <v>44</v>
      </c>
      <c r="D353" s="91">
        <f>1.15*7.94/100</f>
        <v>0.09131</v>
      </c>
      <c r="E353" s="86">
        <f>D353*E352</f>
        <v>5.852970999999999</v>
      </c>
      <c r="F353" s="518"/>
      <c r="G353" s="513"/>
    </row>
    <row r="354" spans="1:7" ht="22.5" customHeight="1">
      <c r="A354" s="181"/>
      <c r="B354" s="91" t="s">
        <v>21</v>
      </c>
      <c r="C354" s="91" t="s">
        <v>54</v>
      </c>
      <c r="D354" s="91">
        <f>1.15*0.13/100</f>
        <v>0.001495</v>
      </c>
      <c r="E354" s="86">
        <f>D354*E352</f>
        <v>0.0958295</v>
      </c>
      <c r="F354" s="518"/>
      <c r="G354" s="513"/>
    </row>
    <row r="355" spans="1:7" ht="19.5" customHeight="1">
      <c r="A355" s="181"/>
      <c r="B355" s="91" t="s">
        <v>22</v>
      </c>
      <c r="C355" s="91" t="s">
        <v>79</v>
      </c>
      <c r="D355" s="91">
        <f>112/100</f>
        <v>1.12</v>
      </c>
      <c r="E355" s="86">
        <f>D355*E352</f>
        <v>71.792</v>
      </c>
      <c r="F355" s="518"/>
      <c r="G355" s="513"/>
    </row>
    <row r="356" spans="1:7" ht="25.5" customHeight="1">
      <c r="A356" s="181"/>
      <c r="B356" s="91" t="s">
        <v>68</v>
      </c>
      <c r="C356" s="91" t="s">
        <v>54</v>
      </c>
      <c r="D356" s="91">
        <f>0.14/100</f>
        <v>0.0014000000000000002</v>
      </c>
      <c r="E356" s="86">
        <f>D356*E352</f>
        <v>0.08974</v>
      </c>
      <c r="F356" s="518"/>
      <c r="G356" s="513"/>
    </row>
    <row r="357" spans="1:7" ht="30.75" customHeight="1">
      <c r="A357" s="198" t="s">
        <v>327</v>
      </c>
      <c r="B357" s="133" t="s">
        <v>456</v>
      </c>
      <c r="C357" s="410" t="s">
        <v>77</v>
      </c>
      <c r="D357" s="133"/>
      <c r="E357" s="242">
        <v>206.3</v>
      </c>
      <c r="F357" s="510"/>
      <c r="G357" s="511"/>
    </row>
    <row r="358" spans="1:7" ht="16.5" customHeight="1">
      <c r="A358" s="181"/>
      <c r="B358" s="91" t="s">
        <v>23</v>
      </c>
      <c r="C358" s="91" t="s">
        <v>44</v>
      </c>
      <c r="D358" s="112">
        <v>0.252</v>
      </c>
      <c r="E358" s="86">
        <f>D358*E357</f>
        <v>51.9876</v>
      </c>
      <c r="F358" s="518"/>
      <c r="G358" s="513"/>
    </row>
    <row r="359" spans="1:7" ht="18.75" customHeight="1">
      <c r="A359" s="181"/>
      <c r="B359" s="91" t="s">
        <v>24</v>
      </c>
      <c r="C359" s="91" t="s">
        <v>54</v>
      </c>
      <c r="D359" s="112">
        <f>1.15*0.017</f>
        <v>0.01955</v>
      </c>
      <c r="E359" s="86">
        <f>D359*E357</f>
        <v>4.033165</v>
      </c>
      <c r="F359" s="518"/>
      <c r="G359" s="513"/>
    </row>
    <row r="360" spans="1:7" ht="15.75">
      <c r="A360" s="181"/>
      <c r="B360" s="91" t="s">
        <v>25</v>
      </c>
      <c r="C360" s="91" t="s">
        <v>80</v>
      </c>
      <c r="D360" s="86">
        <v>0.1</v>
      </c>
      <c r="E360" s="86">
        <f>D360*E357</f>
        <v>20.630000000000003</v>
      </c>
      <c r="F360" s="518"/>
      <c r="G360" s="513"/>
    </row>
    <row r="361" spans="1:7" ht="15.75">
      <c r="A361" s="181"/>
      <c r="B361" s="91" t="s">
        <v>26</v>
      </c>
      <c r="C361" s="91" t="s">
        <v>80</v>
      </c>
      <c r="D361" s="86">
        <v>0.1</v>
      </c>
      <c r="E361" s="86">
        <f>D361*E357</f>
        <v>20.630000000000003</v>
      </c>
      <c r="F361" s="518"/>
      <c r="G361" s="513"/>
    </row>
    <row r="362" spans="1:7" ht="42" customHeight="1">
      <c r="A362" s="198" t="s">
        <v>316</v>
      </c>
      <c r="B362" s="431" t="s">
        <v>892</v>
      </c>
      <c r="C362" s="410" t="s">
        <v>153</v>
      </c>
      <c r="D362" s="133"/>
      <c r="E362" s="242">
        <v>212</v>
      </c>
      <c r="F362" s="510"/>
      <c r="G362" s="511"/>
    </row>
    <row r="363" spans="1:7" ht="22.5" customHeight="1">
      <c r="A363" s="181"/>
      <c r="B363" s="91" t="s">
        <v>27</v>
      </c>
      <c r="C363" s="91" t="s">
        <v>44</v>
      </c>
      <c r="D363" s="112">
        <f>1.15*0.741</f>
        <v>0.85215</v>
      </c>
      <c r="E363" s="86">
        <f>D363*E362</f>
        <v>180.6558</v>
      </c>
      <c r="F363" s="518"/>
      <c r="G363" s="513"/>
    </row>
    <row r="364" spans="1:7" ht="24.75" customHeight="1">
      <c r="A364" s="181"/>
      <c r="B364" s="91" t="s">
        <v>28</v>
      </c>
      <c r="C364" s="91" t="s">
        <v>54</v>
      </c>
      <c r="D364" s="125">
        <f>1.15*0.001</f>
        <v>0.00115</v>
      </c>
      <c r="E364" s="86">
        <f>E362*D364</f>
        <v>0.2438</v>
      </c>
      <c r="F364" s="518"/>
      <c r="G364" s="513"/>
    </row>
    <row r="365" spans="1:7" ht="27.75" customHeight="1">
      <c r="A365" s="181"/>
      <c r="B365" s="91" t="s">
        <v>128</v>
      </c>
      <c r="C365" s="91" t="s">
        <v>94</v>
      </c>
      <c r="D365" s="112">
        <v>0.255</v>
      </c>
      <c r="E365" s="86">
        <f>E362*D365</f>
        <v>54.06</v>
      </c>
      <c r="F365" s="518"/>
      <c r="G365" s="513"/>
    </row>
    <row r="366" spans="1:7" ht="18.75" customHeight="1">
      <c r="A366" s="181"/>
      <c r="B366" s="91" t="s">
        <v>29</v>
      </c>
      <c r="C366" s="91" t="s">
        <v>94</v>
      </c>
      <c r="D366" s="112">
        <v>0.82</v>
      </c>
      <c r="E366" s="86">
        <f>E362*D366</f>
        <v>173.84</v>
      </c>
      <c r="F366" s="518"/>
      <c r="G366" s="513"/>
    </row>
    <row r="367" spans="1:7" ht="23.25" customHeight="1">
      <c r="A367" s="181"/>
      <c r="B367" s="91" t="s">
        <v>129</v>
      </c>
      <c r="C367" s="91" t="s">
        <v>94</v>
      </c>
      <c r="D367" s="112">
        <v>0.127</v>
      </c>
      <c r="E367" s="86">
        <f>E362*D367</f>
        <v>26.924</v>
      </c>
      <c r="F367" s="518"/>
      <c r="G367" s="513"/>
    </row>
    <row r="368" spans="1:7" ht="24" customHeight="1">
      <c r="A368" s="181"/>
      <c r="B368" s="91" t="s">
        <v>30</v>
      </c>
      <c r="C368" s="91" t="s">
        <v>54</v>
      </c>
      <c r="D368" s="112">
        <v>0.017</v>
      </c>
      <c r="E368" s="86">
        <f>E362*D368</f>
        <v>3.604</v>
      </c>
      <c r="F368" s="518"/>
      <c r="G368" s="513"/>
    </row>
    <row r="369" spans="1:7" ht="27">
      <c r="A369" s="234">
        <v>67</v>
      </c>
      <c r="B369" s="133" t="s">
        <v>764</v>
      </c>
      <c r="C369" s="133" t="s">
        <v>74</v>
      </c>
      <c r="D369" s="245"/>
      <c r="E369" s="351">
        <v>79.2</v>
      </c>
      <c r="F369" s="510"/>
      <c r="G369" s="507"/>
    </row>
    <row r="370" spans="1:7" ht="26.25" customHeight="1">
      <c r="A370" s="181"/>
      <c r="B370" s="91" t="s">
        <v>167</v>
      </c>
      <c r="C370" s="91" t="s">
        <v>44</v>
      </c>
      <c r="D370" s="91">
        <f>1.15*(210+2*18.3)/100</f>
        <v>2.8358999999999996</v>
      </c>
      <c r="E370" s="86">
        <f>D370*E369</f>
        <v>224.60327999999998</v>
      </c>
      <c r="F370" s="518"/>
      <c r="G370" s="509"/>
    </row>
    <row r="371" spans="1:7" ht="29.25" customHeight="1">
      <c r="A371" s="181"/>
      <c r="B371" s="91" t="s">
        <v>168</v>
      </c>
      <c r="C371" s="91" t="s">
        <v>54</v>
      </c>
      <c r="D371" s="91">
        <f>1.15*(2.32+2*0.2)/100</f>
        <v>0.031279999999999995</v>
      </c>
      <c r="E371" s="86">
        <f>D371*E369</f>
        <v>2.4773759999999996</v>
      </c>
      <c r="F371" s="518"/>
      <c r="G371" s="509"/>
    </row>
    <row r="372" spans="1:7" ht="31.5" customHeight="1">
      <c r="A372" s="181"/>
      <c r="B372" s="91" t="s">
        <v>169</v>
      </c>
      <c r="C372" s="91" t="s">
        <v>52</v>
      </c>
      <c r="D372" s="91">
        <f>(2.04+2*0.51)/100</f>
        <v>0.030600000000000002</v>
      </c>
      <c r="E372" s="86">
        <f>D372*E369</f>
        <v>2.4235200000000003</v>
      </c>
      <c r="F372" s="518"/>
      <c r="G372" s="509"/>
    </row>
    <row r="373" spans="1:7" ht="15.75">
      <c r="A373" s="181"/>
      <c r="B373" s="91" t="s">
        <v>102</v>
      </c>
      <c r="C373" s="91" t="s">
        <v>52</v>
      </c>
      <c r="D373" s="91">
        <v>0.0016</v>
      </c>
      <c r="E373" s="86">
        <f>D373*E369</f>
        <v>0.12672</v>
      </c>
      <c r="F373" s="518"/>
      <c r="G373" s="509"/>
    </row>
    <row r="374" spans="1:7" ht="24.75" customHeight="1">
      <c r="A374" s="181"/>
      <c r="B374" s="91" t="s">
        <v>110</v>
      </c>
      <c r="C374" s="91" t="s">
        <v>72</v>
      </c>
      <c r="D374" s="91">
        <v>0.018600000000000002</v>
      </c>
      <c r="E374" s="86">
        <f>E369*D374</f>
        <v>1.4731200000000002</v>
      </c>
      <c r="F374" s="515"/>
      <c r="G374" s="509"/>
    </row>
    <row r="375" spans="1:7" ht="22.5" customHeight="1">
      <c r="A375" s="181"/>
      <c r="B375" s="91" t="s">
        <v>111</v>
      </c>
      <c r="C375" s="91" t="s">
        <v>72</v>
      </c>
      <c r="D375" s="91">
        <v>0.0005</v>
      </c>
      <c r="E375" s="86">
        <f>E369*D375</f>
        <v>0.0396</v>
      </c>
      <c r="F375" s="518"/>
      <c r="G375" s="509"/>
    </row>
    <row r="376" spans="1:7" ht="19.5" customHeight="1">
      <c r="A376" s="181"/>
      <c r="B376" s="91" t="s">
        <v>56</v>
      </c>
      <c r="C376" s="91" t="s">
        <v>54</v>
      </c>
      <c r="D376" s="91">
        <v>0.203</v>
      </c>
      <c r="E376" s="86">
        <f>E369*D376</f>
        <v>16.0776</v>
      </c>
      <c r="F376" s="518"/>
      <c r="G376" s="509"/>
    </row>
    <row r="377" spans="1:7" ht="54" customHeight="1">
      <c r="A377" s="399">
        <v>68</v>
      </c>
      <c r="B377" s="245" t="s">
        <v>765</v>
      </c>
      <c r="C377" s="245" t="s">
        <v>74</v>
      </c>
      <c r="D377" s="245"/>
      <c r="E377" s="351">
        <v>41</v>
      </c>
      <c r="F377" s="510"/>
      <c r="G377" s="507"/>
    </row>
    <row r="378" spans="1:7" ht="33.75" customHeight="1">
      <c r="A378" s="239"/>
      <c r="B378" s="190" t="s">
        <v>167</v>
      </c>
      <c r="C378" s="190" t="s">
        <v>44</v>
      </c>
      <c r="D378" s="190">
        <f>1.15*(210+2*18.3)/100</f>
        <v>2.8358999999999996</v>
      </c>
      <c r="E378" s="343">
        <f>D378*E377</f>
        <v>116.27189999999999</v>
      </c>
      <c r="F378" s="518"/>
      <c r="G378" s="509"/>
    </row>
    <row r="379" spans="1:7" ht="23.25" customHeight="1">
      <c r="A379" s="239"/>
      <c r="B379" s="190" t="s">
        <v>168</v>
      </c>
      <c r="C379" s="190" t="s">
        <v>54</v>
      </c>
      <c r="D379" s="190">
        <f>1.15*(2.32+2*0.2)/100</f>
        <v>0.031279999999999995</v>
      </c>
      <c r="E379" s="343">
        <f>D379*E377</f>
        <v>1.2824799999999998</v>
      </c>
      <c r="F379" s="518"/>
      <c r="G379" s="509"/>
    </row>
    <row r="380" spans="1:7" ht="27">
      <c r="A380" s="239"/>
      <c r="B380" s="190" t="s">
        <v>169</v>
      </c>
      <c r="C380" s="190" t="s">
        <v>52</v>
      </c>
      <c r="D380" s="190">
        <f>(2.04+2*0.51)/100</f>
        <v>0.030600000000000002</v>
      </c>
      <c r="E380" s="343">
        <f>D380*E377</f>
        <v>1.2546000000000002</v>
      </c>
      <c r="F380" s="518"/>
      <c r="G380" s="509"/>
    </row>
    <row r="381" spans="1:7" ht="22.5" customHeight="1">
      <c r="A381" s="239"/>
      <c r="B381" s="190" t="s">
        <v>102</v>
      </c>
      <c r="C381" s="190" t="s">
        <v>52</v>
      </c>
      <c r="D381" s="190">
        <v>0.0016</v>
      </c>
      <c r="E381" s="343">
        <f>D381*E377</f>
        <v>0.0656</v>
      </c>
      <c r="F381" s="518"/>
      <c r="G381" s="509"/>
    </row>
    <row r="382" spans="1:7" ht="21.75" customHeight="1">
      <c r="A382" s="239"/>
      <c r="B382" s="190" t="s">
        <v>110</v>
      </c>
      <c r="C382" s="190" t="s">
        <v>72</v>
      </c>
      <c r="D382" s="190">
        <v>0.018600000000000002</v>
      </c>
      <c r="E382" s="343">
        <f>E377*D382</f>
        <v>0.7626000000000001</v>
      </c>
      <c r="F382" s="515"/>
      <c r="G382" s="509"/>
    </row>
    <row r="383" spans="1:7" ht="21" customHeight="1">
      <c r="A383" s="239"/>
      <c r="B383" s="190" t="s">
        <v>111</v>
      </c>
      <c r="C383" s="190" t="s">
        <v>72</v>
      </c>
      <c r="D383" s="190">
        <v>0.0005</v>
      </c>
      <c r="E383" s="343">
        <f>E377*D383</f>
        <v>0.0205</v>
      </c>
      <c r="F383" s="518"/>
      <c r="G383" s="509"/>
    </row>
    <row r="384" spans="1:7" ht="25.5" customHeight="1">
      <c r="A384" s="239"/>
      <c r="B384" s="190" t="s">
        <v>56</v>
      </c>
      <c r="C384" s="190" t="s">
        <v>54</v>
      </c>
      <c r="D384" s="190">
        <v>0.203</v>
      </c>
      <c r="E384" s="343">
        <f>E377*D384</f>
        <v>8.323</v>
      </c>
      <c r="F384" s="518"/>
      <c r="G384" s="509"/>
    </row>
    <row r="385" spans="1:7" ht="51" customHeight="1">
      <c r="A385" s="234">
        <v>69</v>
      </c>
      <c r="B385" s="133" t="s">
        <v>694</v>
      </c>
      <c r="C385" s="199" t="s">
        <v>61</v>
      </c>
      <c r="D385" s="199"/>
      <c r="E385" s="403">
        <v>141</v>
      </c>
      <c r="F385" s="506"/>
      <c r="G385" s="507"/>
    </row>
    <row r="386" spans="1:7" ht="21" customHeight="1">
      <c r="A386" s="181"/>
      <c r="B386" s="91" t="s">
        <v>695</v>
      </c>
      <c r="C386" s="113" t="s">
        <v>44</v>
      </c>
      <c r="D386" s="113">
        <f>1.15*(210+2*18.3)/100*0.08</f>
        <v>0.22687199999999996</v>
      </c>
      <c r="E386" s="122">
        <f>D386*E385</f>
        <v>31.988951999999994</v>
      </c>
      <c r="F386" s="519"/>
      <c r="G386" s="509"/>
    </row>
    <row r="387" spans="1:7" ht="24" customHeight="1">
      <c r="A387" s="181"/>
      <c r="B387" s="91" t="s">
        <v>696</v>
      </c>
      <c r="C387" s="113" t="s">
        <v>54</v>
      </c>
      <c r="D387" s="113">
        <f>1.15*(2.32+2*0.2)/100*0.08</f>
        <v>0.0025023999999999997</v>
      </c>
      <c r="E387" s="122">
        <f>D387*E385</f>
        <v>0.35283839999999994</v>
      </c>
      <c r="F387" s="519"/>
      <c r="G387" s="509"/>
    </row>
    <row r="388" spans="1:7" ht="28.5" customHeight="1">
      <c r="A388" s="181"/>
      <c r="B388" s="91" t="s">
        <v>697</v>
      </c>
      <c r="C388" s="113" t="s">
        <v>52</v>
      </c>
      <c r="D388" s="113">
        <f>(2.04+2*0.51)/100*0.08</f>
        <v>0.002448</v>
      </c>
      <c r="E388" s="122">
        <f>D388*E385</f>
        <v>0.34516800000000003</v>
      </c>
      <c r="F388" s="519"/>
      <c r="G388" s="509"/>
    </row>
    <row r="389" spans="1:7" ht="24.75" customHeight="1">
      <c r="A389" s="181"/>
      <c r="B389" s="91" t="s">
        <v>102</v>
      </c>
      <c r="C389" s="113" t="s">
        <v>52</v>
      </c>
      <c r="D389" s="113">
        <f>0.0016*0.08</f>
        <v>0.00012800000000000002</v>
      </c>
      <c r="E389" s="122">
        <f>D389*E385</f>
        <v>0.018048</v>
      </c>
      <c r="F389" s="519"/>
      <c r="G389" s="509"/>
    </row>
    <row r="390" spans="1:7" ht="29.25" customHeight="1">
      <c r="A390" s="181"/>
      <c r="B390" s="91" t="s">
        <v>698</v>
      </c>
      <c r="C390" s="113" t="s">
        <v>72</v>
      </c>
      <c r="D390" s="113">
        <f>0.0186*0.08</f>
        <v>0.001488</v>
      </c>
      <c r="E390" s="122">
        <f>E385*D390</f>
        <v>0.209808</v>
      </c>
      <c r="F390" s="523"/>
      <c r="G390" s="509"/>
    </row>
    <row r="391" spans="1:7" ht="26.25" customHeight="1">
      <c r="A391" s="181"/>
      <c r="B391" s="91" t="s">
        <v>699</v>
      </c>
      <c r="C391" s="113" t="s">
        <v>72</v>
      </c>
      <c r="D391" s="113">
        <f>0.0005*0.08</f>
        <v>4E-05</v>
      </c>
      <c r="E391" s="122">
        <f>E385*D391</f>
        <v>0.00564</v>
      </c>
      <c r="F391" s="519"/>
      <c r="G391" s="509"/>
    </row>
    <row r="392" spans="1:7" ht="27" customHeight="1">
      <c r="A392" s="181"/>
      <c r="B392" s="91" t="s">
        <v>700</v>
      </c>
      <c r="C392" s="113" t="s">
        <v>54</v>
      </c>
      <c r="D392" s="113">
        <f>0.203*0.08</f>
        <v>0.01624</v>
      </c>
      <c r="E392" s="122">
        <f>E385*D392</f>
        <v>2.2898400000000003</v>
      </c>
      <c r="F392" s="519"/>
      <c r="G392" s="509"/>
    </row>
    <row r="393" spans="1:7" ht="47.25" customHeight="1">
      <c r="A393" s="234">
        <v>70</v>
      </c>
      <c r="B393" s="133" t="s">
        <v>292</v>
      </c>
      <c r="C393" s="133" t="s">
        <v>61</v>
      </c>
      <c r="D393" s="133"/>
      <c r="E393" s="133">
        <v>35.8</v>
      </c>
      <c r="F393" s="510"/>
      <c r="G393" s="511"/>
    </row>
    <row r="394" spans="1:7" ht="28.5" customHeight="1">
      <c r="A394" s="104"/>
      <c r="B394" s="91" t="s">
        <v>295</v>
      </c>
      <c r="C394" s="91" t="s">
        <v>44</v>
      </c>
      <c r="D394" s="91">
        <f>1.15*0.206</f>
        <v>0.23689999999999997</v>
      </c>
      <c r="E394" s="86">
        <f>D394*E393</f>
        <v>8.48102</v>
      </c>
      <c r="F394" s="518"/>
      <c r="G394" s="513"/>
    </row>
    <row r="395" spans="1:7" ht="30" customHeight="1">
      <c r="A395" s="104"/>
      <c r="B395" s="91" t="s">
        <v>293</v>
      </c>
      <c r="C395" s="91" t="s">
        <v>294</v>
      </c>
      <c r="D395" s="91">
        <v>1.1</v>
      </c>
      <c r="E395" s="86">
        <f>E393*D395</f>
        <v>39.38</v>
      </c>
      <c r="F395" s="518"/>
      <c r="G395" s="513"/>
    </row>
    <row r="396" spans="1:19" s="15" customFormat="1" ht="23.25" customHeight="1">
      <c r="A396" s="104"/>
      <c r="B396" s="91" t="s">
        <v>161</v>
      </c>
      <c r="C396" s="91" t="s">
        <v>162</v>
      </c>
      <c r="D396" s="91">
        <v>0.1</v>
      </c>
      <c r="E396" s="86">
        <f>E393*D396</f>
        <v>3.58</v>
      </c>
      <c r="F396" s="518"/>
      <c r="G396" s="509"/>
      <c r="H396" s="58"/>
      <c r="I396" s="27"/>
      <c r="J396" s="1"/>
      <c r="K396" s="1"/>
      <c r="L396" s="1"/>
      <c r="M396" s="1"/>
      <c r="N396" s="1"/>
      <c r="O396" s="1"/>
      <c r="P396" s="1"/>
      <c r="Q396" s="4"/>
      <c r="R396" s="4"/>
      <c r="S396" s="4"/>
    </row>
    <row r="397" spans="1:17" s="4" customFormat="1" ht="51.75" customHeight="1">
      <c r="A397" s="198" t="s">
        <v>672</v>
      </c>
      <c r="B397" s="133" t="s">
        <v>441</v>
      </c>
      <c r="C397" s="133" t="s">
        <v>74</v>
      </c>
      <c r="D397" s="133"/>
      <c r="E397" s="242">
        <v>314</v>
      </c>
      <c r="F397" s="510"/>
      <c r="G397" s="511"/>
      <c r="H397" s="55"/>
      <c r="I397" s="27"/>
      <c r="J397" s="10"/>
      <c r="K397" s="3"/>
      <c r="L397" s="3"/>
      <c r="M397" s="3"/>
      <c r="N397" s="3"/>
      <c r="O397" s="3"/>
      <c r="P397" s="3"/>
      <c r="Q397" s="1"/>
    </row>
    <row r="398" spans="1:19" s="4" customFormat="1" ht="25.5" customHeight="1">
      <c r="A398" s="181"/>
      <c r="B398" s="91" t="s">
        <v>175</v>
      </c>
      <c r="C398" s="91" t="s">
        <v>44</v>
      </c>
      <c r="D398" s="91">
        <f>1.15*2.19</f>
        <v>2.5185</v>
      </c>
      <c r="E398" s="122">
        <f>E397*D398</f>
        <v>790.809</v>
      </c>
      <c r="F398" s="518"/>
      <c r="G398" s="509"/>
      <c r="H398" s="62"/>
      <c r="I398" s="27"/>
      <c r="J398" s="8"/>
      <c r="K398" s="3"/>
      <c r="L398" s="3"/>
      <c r="M398" s="3"/>
      <c r="N398" s="3"/>
      <c r="O398" s="3"/>
      <c r="P398" s="3"/>
      <c r="Q398" s="1"/>
      <c r="R398" s="15"/>
      <c r="S398" s="15"/>
    </row>
    <row r="399" spans="1:19" s="4" customFormat="1" ht="30" customHeight="1">
      <c r="A399" s="181"/>
      <c r="B399" s="91" t="s">
        <v>108</v>
      </c>
      <c r="C399" s="91" t="s">
        <v>54</v>
      </c>
      <c r="D399" s="112">
        <f>1.15*0.02</f>
        <v>0.023</v>
      </c>
      <c r="E399" s="86">
        <f>D399*E397</f>
        <v>7.2219999999999995</v>
      </c>
      <c r="F399" s="518"/>
      <c r="G399" s="513"/>
      <c r="H399" s="62"/>
      <c r="I399" s="27"/>
      <c r="J399" s="8"/>
      <c r="K399" s="3"/>
      <c r="L399" s="3"/>
      <c r="M399" s="3"/>
      <c r="N399" s="3"/>
      <c r="O399" s="3"/>
      <c r="P399" s="3"/>
      <c r="Q399" s="1"/>
      <c r="R399" s="15"/>
      <c r="S399" s="15"/>
    </row>
    <row r="400" spans="1:19" s="2" customFormat="1" ht="24.75" customHeight="1">
      <c r="A400" s="181"/>
      <c r="B400" s="91" t="s">
        <v>105</v>
      </c>
      <c r="C400" s="91" t="s">
        <v>94</v>
      </c>
      <c r="D400" s="91">
        <v>8</v>
      </c>
      <c r="E400" s="86">
        <f>D400*E397</f>
        <v>2512</v>
      </c>
      <c r="F400" s="518"/>
      <c r="G400" s="513"/>
      <c r="H400" s="62"/>
      <c r="I400" s="27"/>
      <c r="J400" s="10"/>
      <c r="K400" s="3"/>
      <c r="L400" s="3"/>
      <c r="M400" s="3"/>
      <c r="N400" s="3"/>
      <c r="O400" s="3"/>
      <c r="P400" s="3"/>
      <c r="Q400" s="3"/>
      <c r="R400" s="5"/>
      <c r="S400" s="5"/>
    </row>
    <row r="401" spans="1:17" s="4" customFormat="1" ht="24.75" customHeight="1">
      <c r="A401" s="181"/>
      <c r="B401" s="91" t="s">
        <v>109</v>
      </c>
      <c r="C401" s="91" t="s">
        <v>80</v>
      </c>
      <c r="D401" s="91">
        <v>1.03</v>
      </c>
      <c r="E401" s="86">
        <f>D401*E397</f>
        <v>323.42</v>
      </c>
      <c r="F401" s="518"/>
      <c r="G401" s="513"/>
      <c r="H401" s="55"/>
      <c r="I401" s="27"/>
      <c r="J401" s="1"/>
      <c r="K401" s="1"/>
      <c r="L401" s="1"/>
      <c r="M401" s="1"/>
      <c r="N401" s="1"/>
      <c r="O401" s="1"/>
      <c r="P401" s="1"/>
      <c r="Q401" s="1"/>
    </row>
    <row r="402" spans="1:19" s="4" customFormat="1" ht="28.5" customHeight="1">
      <c r="A402" s="181"/>
      <c r="B402" s="91" t="s">
        <v>56</v>
      </c>
      <c r="C402" s="91" t="s">
        <v>54</v>
      </c>
      <c r="D402" s="91">
        <v>0.006999999999999999</v>
      </c>
      <c r="E402" s="86">
        <f>D402*E397</f>
        <v>2.198</v>
      </c>
      <c r="F402" s="518"/>
      <c r="G402" s="513"/>
      <c r="H402" s="58"/>
      <c r="I402" s="27"/>
      <c r="J402" s="53"/>
      <c r="K402" s="1"/>
      <c r="L402" s="1"/>
      <c r="M402" s="1"/>
      <c r="N402" s="1"/>
      <c r="O402" s="1"/>
      <c r="P402" s="1"/>
      <c r="Q402" s="1"/>
      <c r="R402" s="15"/>
      <c r="S402" s="15"/>
    </row>
    <row r="403" spans="1:19" s="4" customFormat="1" ht="54" customHeight="1">
      <c r="A403" s="234">
        <v>72</v>
      </c>
      <c r="B403" s="133" t="s">
        <v>455</v>
      </c>
      <c r="C403" s="133" t="s">
        <v>61</v>
      </c>
      <c r="D403" s="133"/>
      <c r="E403" s="242">
        <v>1.5</v>
      </c>
      <c r="F403" s="510"/>
      <c r="G403" s="511"/>
      <c r="H403" s="58"/>
      <c r="I403" s="27"/>
      <c r="J403" s="1"/>
      <c r="K403" s="1"/>
      <c r="L403" s="1"/>
      <c r="M403" s="1"/>
      <c r="N403" s="1"/>
      <c r="O403" s="1"/>
      <c r="P403" s="1"/>
      <c r="Q403" s="1"/>
      <c r="R403" s="30"/>
      <c r="S403" s="30"/>
    </row>
    <row r="404" spans="1:19" s="15" customFormat="1" ht="31.5" customHeight="1">
      <c r="A404" s="104"/>
      <c r="B404" s="91" t="s">
        <v>84</v>
      </c>
      <c r="C404" s="91" t="str">
        <f>C403</f>
        <v>grZ.m</v>
      </c>
      <c r="D404" s="91">
        <v>1</v>
      </c>
      <c r="E404" s="116">
        <f>E403*D404</f>
        <v>1.5</v>
      </c>
      <c r="F404" s="518"/>
      <c r="G404" s="513"/>
      <c r="H404" s="10"/>
      <c r="I404" s="27"/>
      <c r="J404" s="3"/>
      <c r="K404" s="3"/>
      <c r="L404" s="3"/>
      <c r="M404" s="3"/>
      <c r="N404" s="3"/>
      <c r="O404" s="3"/>
      <c r="P404" s="3"/>
      <c r="Q404" s="1"/>
      <c r="R404" s="30"/>
      <c r="S404" s="30"/>
    </row>
    <row r="405" spans="1:19" s="15" customFormat="1" ht="55.5" customHeight="1">
      <c r="A405" s="350" t="s">
        <v>40</v>
      </c>
      <c r="B405" s="245" t="s">
        <v>172</v>
      </c>
      <c r="C405" s="245" t="s">
        <v>74</v>
      </c>
      <c r="D405" s="245"/>
      <c r="E405" s="245">
        <v>54</v>
      </c>
      <c r="F405" s="510"/>
      <c r="G405" s="511"/>
      <c r="H405" s="58"/>
      <c r="I405" s="27"/>
      <c r="J405" s="1"/>
      <c r="K405" s="1"/>
      <c r="L405" s="1"/>
      <c r="M405" s="1"/>
      <c r="N405" s="1"/>
      <c r="O405" s="1"/>
      <c r="P405" s="1"/>
      <c r="Q405" s="1"/>
      <c r="R405" s="32"/>
      <c r="S405" s="32"/>
    </row>
    <row r="406" spans="1:19" s="15" customFormat="1" ht="25.5" customHeight="1">
      <c r="A406" s="239"/>
      <c r="B406" s="190" t="s">
        <v>171</v>
      </c>
      <c r="C406" s="190" t="s">
        <v>44</v>
      </c>
      <c r="D406" s="190">
        <f>1.15*1.14</f>
        <v>1.3109999999999997</v>
      </c>
      <c r="E406" s="343">
        <f>D406*E405</f>
        <v>70.79399999999998</v>
      </c>
      <c r="F406" s="518"/>
      <c r="G406" s="509"/>
      <c r="H406" s="55" t="e">
        <f>#REF!/#REF!</f>
        <v>#REF!</v>
      </c>
      <c r="I406" s="27" t="e">
        <f>#REF!</f>
        <v>#REF!</v>
      </c>
      <c r="J406" s="3"/>
      <c r="K406" s="3"/>
      <c r="L406" s="3"/>
      <c r="M406" s="3"/>
      <c r="N406" s="3"/>
      <c r="O406" s="3"/>
      <c r="P406" s="3"/>
      <c r="Q406" s="3"/>
      <c r="R406" s="32"/>
      <c r="S406" s="32"/>
    </row>
    <row r="407" spans="1:19" s="15" customFormat="1" ht="30.75" customHeight="1">
      <c r="A407" s="239"/>
      <c r="B407" s="190" t="s">
        <v>116</v>
      </c>
      <c r="C407" s="190" t="s">
        <v>54</v>
      </c>
      <c r="D407" s="190">
        <v>0.0166</v>
      </c>
      <c r="E407" s="343">
        <f>D407*E405</f>
        <v>0.8964</v>
      </c>
      <c r="F407" s="518"/>
      <c r="G407" s="513"/>
      <c r="H407" s="3"/>
      <c r="I407" s="27" t="e">
        <f>#REF!</f>
        <v>#REF!</v>
      </c>
      <c r="J407" s="8" t="e">
        <f>#REF!</f>
        <v>#REF!</v>
      </c>
      <c r="K407" s="3"/>
      <c r="L407" s="3"/>
      <c r="M407" s="3"/>
      <c r="N407" s="3"/>
      <c r="O407" s="3"/>
      <c r="P407" s="3"/>
      <c r="Q407" s="1"/>
      <c r="R407" s="33"/>
      <c r="S407" s="33"/>
    </row>
    <row r="408" spans="1:19" s="5" customFormat="1" ht="34.5" customHeight="1">
      <c r="A408" s="239"/>
      <c r="B408" s="190" t="s">
        <v>452</v>
      </c>
      <c r="C408" s="190" t="s">
        <v>52</v>
      </c>
      <c r="D408" s="190">
        <v>0.0086</v>
      </c>
      <c r="E408" s="343">
        <f>D408*E405</f>
        <v>0.4644</v>
      </c>
      <c r="F408" s="518"/>
      <c r="G408" s="513"/>
      <c r="H408" s="3"/>
      <c r="I408" s="27" t="e">
        <f>#REF!</f>
        <v>#REF!</v>
      </c>
      <c r="J408" s="3"/>
      <c r="K408" s="3"/>
      <c r="L408" s="3"/>
      <c r="M408" s="3"/>
      <c r="N408" s="3"/>
      <c r="O408" s="3"/>
      <c r="P408" s="3"/>
      <c r="Q408" s="3"/>
      <c r="R408" s="33"/>
      <c r="S408" s="33"/>
    </row>
    <row r="409" spans="1:19" s="30" customFormat="1" ht="27.75" customHeight="1">
      <c r="A409" s="239"/>
      <c r="B409" s="190" t="s">
        <v>117</v>
      </c>
      <c r="C409" s="190" t="s">
        <v>94</v>
      </c>
      <c r="D409" s="190">
        <v>0.124</v>
      </c>
      <c r="E409" s="343">
        <f>D409*E405</f>
        <v>6.696</v>
      </c>
      <c r="F409" s="518"/>
      <c r="G409" s="513"/>
      <c r="H409" s="2"/>
      <c r="I409" s="27" t="e">
        <f>#REF!</f>
        <v>#REF!</v>
      </c>
      <c r="J409" s="2"/>
      <c r="K409" s="2"/>
      <c r="L409" s="2"/>
      <c r="M409" s="2"/>
      <c r="N409" s="2"/>
      <c r="O409" s="2"/>
      <c r="P409" s="2"/>
      <c r="Q409" s="3"/>
      <c r="R409" s="5"/>
      <c r="S409" s="5"/>
    </row>
    <row r="410" spans="1:19" s="30" customFormat="1" ht="27.75" customHeight="1">
      <c r="A410" s="239"/>
      <c r="B410" s="190" t="s">
        <v>118</v>
      </c>
      <c r="C410" s="190" t="s">
        <v>80</v>
      </c>
      <c r="D410" s="190">
        <v>1.03</v>
      </c>
      <c r="E410" s="343">
        <f>D410*E405</f>
        <v>55.620000000000005</v>
      </c>
      <c r="F410" s="518"/>
      <c r="G410" s="513"/>
      <c r="H410" s="2"/>
      <c r="I410" s="27" t="e">
        <f>#REF!</f>
        <v>#REF!</v>
      </c>
      <c r="J410" s="2"/>
      <c r="K410" s="2"/>
      <c r="L410" s="2"/>
      <c r="M410" s="2"/>
      <c r="N410" s="2"/>
      <c r="O410" s="2"/>
      <c r="P410" s="2"/>
      <c r="Q410" s="3"/>
      <c r="R410" s="4"/>
      <c r="S410" s="4"/>
    </row>
    <row r="411" spans="1:19" s="32" customFormat="1" ht="25.5" customHeight="1">
      <c r="A411" s="239"/>
      <c r="B411" s="190" t="s">
        <v>119</v>
      </c>
      <c r="C411" s="190" t="s">
        <v>79</v>
      </c>
      <c r="D411" s="190">
        <v>1.07</v>
      </c>
      <c r="E411" s="343">
        <f>D411*E405</f>
        <v>57.78</v>
      </c>
      <c r="F411" s="518"/>
      <c r="G411" s="513"/>
      <c r="H411" s="2"/>
      <c r="I411" s="27" t="e">
        <f>#REF!</f>
        <v>#REF!</v>
      </c>
      <c r="J411" s="2"/>
      <c r="K411" s="2"/>
      <c r="L411" s="2"/>
      <c r="M411" s="2"/>
      <c r="N411" s="2"/>
      <c r="O411" s="2"/>
      <c r="P411" s="2"/>
      <c r="Q411" s="3"/>
      <c r="R411" s="4"/>
      <c r="S411" s="4"/>
    </row>
    <row r="412" spans="1:19" s="32" customFormat="1" ht="24" customHeight="1">
      <c r="A412" s="239"/>
      <c r="B412" s="190" t="s">
        <v>56</v>
      </c>
      <c r="C412" s="190" t="s">
        <v>54</v>
      </c>
      <c r="D412" s="190">
        <v>0.03</v>
      </c>
      <c r="E412" s="343">
        <f>D412*E405</f>
        <v>1.6199999999999999</v>
      </c>
      <c r="F412" s="518"/>
      <c r="G412" s="513"/>
      <c r="H412" s="2"/>
      <c r="I412" s="27" t="e">
        <f>#REF!</f>
        <v>#REF!</v>
      </c>
      <c r="J412" s="2"/>
      <c r="K412" s="2"/>
      <c r="L412" s="2"/>
      <c r="M412" s="2"/>
      <c r="N412" s="2"/>
      <c r="O412" s="2"/>
      <c r="P412" s="2"/>
      <c r="Q412" s="3"/>
      <c r="R412" s="2"/>
      <c r="S412" s="2"/>
    </row>
    <row r="413" spans="1:19" s="33" customFormat="1" ht="51" customHeight="1">
      <c r="A413" s="234">
        <v>74</v>
      </c>
      <c r="B413" s="133" t="s">
        <v>760</v>
      </c>
      <c r="C413" s="199" t="s">
        <v>74</v>
      </c>
      <c r="D413" s="199"/>
      <c r="E413" s="403">
        <v>110.3</v>
      </c>
      <c r="F413" s="506"/>
      <c r="G413" s="507"/>
      <c r="H413" s="2"/>
      <c r="I413" s="27" t="e">
        <f>#REF!</f>
        <v>#REF!</v>
      </c>
      <c r="J413" s="2"/>
      <c r="K413" s="2"/>
      <c r="L413" s="2"/>
      <c r="M413" s="2"/>
      <c r="N413" s="2"/>
      <c r="O413" s="2"/>
      <c r="P413" s="2"/>
      <c r="Q413" s="3"/>
      <c r="R413" s="4"/>
      <c r="S413" s="4"/>
    </row>
    <row r="414" spans="1:19" s="33" customFormat="1" ht="25.5" customHeight="1">
      <c r="A414" s="104"/>
      <c r="B414" s="91" t="s">
        <v>58</v>
      </c>
      <c r="C414" s="113" t="str">
        <f>C413</f>
        <v>kv.m</v>
      </c>
      <c r="D414" s="113">
        <v>1</v>
      </c>
      <c r="E414" s="122">
        <f>D414*E413</f>
        <v>110.3</v>
      </c>
      <c r="F414" s="519"/>
      <c r="G414" s="509"/>
      <c r="H414" s="55" t="e">
        <f>#REF!/#REF!</f>
        <v>#REF!</v>
      </c>
      <c r="I414" s="27" t="e">
        <f>#REF!</f>
        <v>#REF!</v>
      </c>
      <c r="J414" s="2"/>
      <c r="K414" s="2"/>
      <c r="L414" s="2"/>
      <c r="M414" s="2"/>
      <c r="N414" s="2"/>
      <c r="O414" s="2"/>
      <c r="P414" s="2"/>
      <c r="Q414" s="1"/>
      <c r="R414" s="1"/>
      <c r="S414" s="1"/>
    </row>
    <row r="415" spans="1:19" s="5" customFormat="1" ht="26.25" customHeight="1">
      <c r="A415" s="104"/>
      <c r="B415" s="91" t="s">
        <v>701</v>
      </c>
      <c r="C415" s="113" t="str">
        <f>C413</f>
        <v>kv.m</v>
      </c>
      <c r="D415" s="113">
        <v>1</v>
      </c>
      <c r="E415" s="122">
        <f>D415*E413</f>
        <v>110.3</v>
      </c>
      <c r="F415" s="519"/>
      <c r="G415" s="509"/>
      <c r="H415" s="2"/>
      <c r="I415" s="27" t="e">
        <f>#REF!</f>
        <v>#REF!</v>
      </c>
      <c r="J415" s="63" t="e">
        <f>#REF!</f>
        <v>#REF!</v>
      </c>
      <c r="K415" s="2"/>
      <c r="L415" s="2"/>
      <c r="M415" s="2"/>
      <c r="N415" s="2"/>
      <c r="O415" s="2"/>
      <c r="P415" s="2"/>
      <c r="Q415" s="1"/>
      <c r="R415" s="1"/>
      <c r="S415" s="1"/>
    </row>
    <row r="416" spans="1:19" s="4" customFormat="1" ht="39.75" customHeight="1">
      <c r="A416" s="234">
        <v>75</v>
      </c>
      <c r="B416" s="133" t="s">
        <v>761</v>
      </c>
      <c r="C416" s="199" t="s">
        <v>74</v>
      </c>
      <c r="D416" s="199"/>
      <c r="E416" s="403">
        <v>206.6</v>
      </c>
      <c r="F416" s="506"/>
      <c r="G416" s="507"/>
      <c r="H416" s="2"/>
      <c r="I416" s="27"/>
      <c r="J416" s="63"/>
      <c r="K416" s="2"/>
      <c r="L416" s="2"/>
      <c r="M416" s="2"/>
      <c r="N416" s="2"/>
      <c r="O416" s="2"/>
      <c r="P416" s="2"/>
      <c r="Q416" s="1"/>
      <c r="R416" s="1"/>
      <c r="S416" s="1"/>
    </row>
    <row r="417" spans="1:19" s="4" customFormat="1" ht="25.5" customHeight="1">
      <c r="A417" s="104"/>
      <c r="B417" s="91" t="s">
        <v>58</v>
      </c>
      <c r="C417" s="113" t="str">
        <f>C416</f>
        <v>kv.m</v>
      </c>
      <c r="D417" s="113">
        <v>1</v>
      </c>
      <c r="E417" s="122">
        <f>D417*E416</f>
        <v>206.6</v>
      </c>
      <c r="F417" s="519"/>
      <c r="G417" s="509"/>
      <c r="H417" s="2"/>
      <c r="I417" s="27"/>
      <c r="J417" s="63"/>
      <c r="K417" s="2"/>
      <c r="L417" s="2"/>
      <c r="M417" s="2"/>
      <c r="N417" s="2"/>
      <c r="O417" s="2"/>
      <c r="P417" s="2"/>
      <c r="Q417" s="3"/>
      <c r="R417" s="1"/>
      <c r="S417" s="1"/>
    </row>
    <row r="418" spans="1:19" s="2" customFormat="1" ht="27.75" customHeight="1">
      <c r="A418" s="104"/>
      <c r="B418" s="91" t="s">
        <v>701</v>
      </c>
      <c r="C418" s="113" t="str">
        <f>C416</f>
        <v>kv.m</v>
      </c>
      <c r="D418" s="113">
        <v>1</v>
      </c>
      <c r="E418" s="122">
        <f>D418*E416</f>
        <v>206.6</v>
      </c>
      <c r="F418" s="519"/>
      <c r="G418" s="509"/>
      <c r="H418" s="4"/>
      <c r="I418" s="27" t="e">
        <f>#REF!</f>
        <v>#REF!</v>
      </c>
      <c r="J418" s="4"/>
      <c r="K418" s="4"/>
      <c r="L418" s="4"/>
      <c r="M418" s="4"/>
      <c r="N418" s="4"/>
      <c r="O418" s="4"/>
      <c r="P418" s="4"/>
      <c r="Q418" s="1"/>
      <c r="R418" s="1"/>
      <c r="S418" s="1"/>
    </row>
    <row r="419" spans="1:19" s="4" customFormat="1" ht="50.25" customHeight="1">
      <c r="A419" s="350" t="s">
        <v>683</v>
      </c>
      <c r="B419" s="245" t="s">
        <v>789</v>
      </c>
      <c r="C419" s="357" t="s">
        <v>77</v>
      </c>
      <c r="D419" s="245"/>
      <c r="E419" s="351">
        <v>4757</v>
      </c>
      <c r="F419" s="510"/>
      <c r="G419" s="507"/>
      <c r="H419" s="2"/>
      <c r="I419" s="27" t="e">
        <f>#REF!</f>
        <v>#REF!</v>
      </c>
      <c r="J419" s="2"/>
      <c r="K419" s="2"/>
      <c r="L419" s="2"/>
      <c r="M419" s="2"/>
      <c r="N419" s="2"/>
      <c r="O419" s="2"/>
      <c r="P419" s="2"/>
      <c r="Q419" s="3"/>
      <c r="R419" s="1"/>
      <c r="S419" s="1"/>
    </row>
    <row r="420" spans="1:19" ht="30" customHeight="1">
      <c r="A420" s="181"/>
      <c r="B420" s="91" t="s">
        <v>298</v>
      </c>
      <c r="C420" s="91" t="s">
        <v>44</v>
      </c>
      <c r="D420" s="91">
        <f>1.15*(101+106)/2/100</f>
        <v>1.1902499999999998</v>
      </c>
      <c r="E420" s="122">
        <f>E419*D420</f>
        <v>5662.019249999999</v>
      </c>
      <c r="F420" s="518"/>
      <c r="G420" s="509"/>
      <c r="H420" s="4"/>
      <c r="I420" s="27" t="e">
        <f>#REF!</f>
        <v>#REF!</v>
      </c>
      <c r="J420" s="4"/>
      <c r="K420" s="4"/>
      <c r="L420" s="4"/>
      <c r="M420" s="4"/>
      <c r="N420" s="4"/>
      <c r="O420" s="4"/>
      <c r="P420" s="4"/>
      <c r="Q420" s="3"/>
      <c r="R420" s="3"/>
      <c r="S420" s="3"/>
    </row>
    <row r="421" spans="1:17" ht="24" customHeight="1">
      <c r="A421" s="181"/>
      <c r="B421" s="91" t="s">
        <v>173</v>
      </c>
      <c r="C421" s="87" t="s">
        <v>62</v>
      </c>
      <c r="D421" s="91">
        <f>1.15*0.041</f>
        <v>0.04715</v>
      </c>
      <c r="E421" s="86">
        <f>E419*D421</f>
        <v>224.29254999999998</v>
      </c>
      <c r="F421" s="518"/>
      <c r="G421" s="513"/>
      <c r="H421" s="55" t="e">
        <f>#REF!/#REF!</f>
        <v>#REF!</v>
      </c>
      <c r="I421" s="27" t="e">
        <f>#REF!</f>
        <v>#REF!</v>
      </c>
      <c r="J421" s="4"/>
      <c r="K421" s="4"/>
      <c r="L421" s="4"/>
      <c r="M421" s="4"/>
      <c r="N421" s="4"/>
      <c r="O421" s="4"/>
      <c r="P421" s="4"/>
      <c r="Q421" s="3"/>
    </row>
    <row r="422" spans="1:19" ht="30.75" customHeight="1">
      <c r="A422" s="181"/>
      <c r="B422" s="91" t="s">
        <v>174</v>
      </c>
      <c r="C422" s="91" t="s">
        <v>54</v>
      </c>
      <c r="D422" s="91">
        <f>1.15*0.027</f>
        <v>0.031049999999999998</v>
      </c>
      <c r="E422" s="103">
        <f>D422*E419</f>
        <v>147.70485</v>
      </c>
      <c r="F422" s="518"/>
      <c r="G422" s="509"/>
      <c r="H422" s="4"/>
      <c r="I422" s="27" t="e">
        <f>#REF!</f>
        <v>#REF!</v>
      </c>
      <c r="J422" s="63" t="e">
        <f>#REF!</f>
        <v>#REF!</v>
      </c>
      <c r="K422" s="4"/>
      <c r="L422" s="4"/>
      <c r="M422" s="4"/>
      <c r="N422" s="4"/>
      <c r="O422" s="4"/>
      <c r="P422" s="4"/>
      <c r="Q422" s="2"/>
      <c r="R422" s="3"/>
      <c r="S422" s="3"/>
    </row>
    <row r="423" spans="1:17" ht="30" customHeight="1">
      <c r="A423" s="181"/>
      <c r="B423" s="102" t="s">
        <v>299</v>
      </c>
      <c r="C423" s="102" t="s">
        <v>52</v>
      </c>
      <c r="D423" s="102">
        <v>0.0238</v>
      </c>
      <c r="E423" s="103">
        <f>D423*E419</f>
        <v>113.21660000000001</v>
      </c>
      <c r="F423" s="518"/>
      <c r="G423" s="509"/>
      <c r="H423" s="1"/>
      <c r="I423" s="27" t="e">
        <f>#REF!</f>
        <v>#REF!</v>
      </c>
      <c r="J423" s="1"/>
      <c r="K423" s="1"/>
      <c r="L423" s="1"/>
      <c r="M423" s="1"/>
      <c r="Q423" s="2"/>
    </row>
    <row r="424" spans="1:17" ht="29.25" customHeight="1">
      <c r="A424" s="181"/>
      <c r="B424" s="102" t="s">
        <v>300</v>
      </c>
      <c r="C424" s="102" t="s">
        <v>54</v>
      </c>
      <c r="D424" s="102">
        <f>(0.003+0.002)/2</f>
        <v>0.0025</v>
      </c>
      <c r="E424" s="103">
        <f>D424*E419</f>
        <v>11.8925</v>
      </c>
      <c r="F424" s="518"/>
      <c r="G424" s="509"/>
      <c r="H424" s="4"/>
      <c r="I424" s="27" t="e">
        <f>#REF!</f>
        <v>#REF!</v>
      </c>
      <c r="J424" s="4"/>
      <c r="K424" s="4"/>
      <c r="L424" s="4"/>
      <c r="M424" s="4"/>
      <c r="N424" s="4"/>
      <c r="O424" s="4"/>
      <c r="P424" s="4"/>
      <c r="Q424" s="2"/>
    </row>
    <row r="425" spans="1:17" ht="48.75" customHeight="1">
      <c r="A425" s="350" t="s">
        <v>686</v>
      </c>
      <c r="B425" s="245" t="s">
        <v>457</v>
      </c>
      <c r="C425" s="245" t="s">
        <v>74</v>
      </c>
      <c r="D425" s="245"/>
      <c r="E425" s="356">
        <v>4904</v>
      </c>
      <c r="F425" s="510"/>
      <c r="G425" s="511"/>
      <c r="H425" s="5"/>
      <c r="I425" s="27" t="e">
        <f>#REF!</f>
        <v>#REF!</v>
      </c>
      <c r="J425" s="5"/>
      <c r="K425" s="5"/>
      <c r="L425" s="5"/>
      <c r="M425" s="5"/>
      <c r="N425" s="5"/>
      <c r="O425" s="5"/>
      <c r="P425" s="5"/>
      <c r="Q425" s="2"/>
    </row>
    <row r="426" spans="1:19" s="3" customFormat="1" ht="36.75" customHeight="1">
      <c r="A426" s="181"/>
      <c r="B426" s="91" t="s">
        <v>304</v>
      </c>
      <c r="C426" s="91" t="s">
        <v>44</v>
      </c>
      <c r="D426" s="91">
        <f>1.15*(65.8+85.6)/2/100*70%+1.15*(11.5+15.8)/2/100</f>
        <v>0.7663599999999998</v>
      </c>
      <c r="E426" s="103">
        <f>D426*E425</f>
        <v>3758.229439999999</v>
      </c>
      <c r="F426" s="518"/>
      <c r="G426" s="513"/>
      <c r="H426" s="55" t="e">
        <f>#REF!/#REF!</f>
        <v>#REF!</v>
      </c>
      <c r="I426" s="27" t="e">
        <f>#REF!</f>
        <v>#REF!</v>
      </c>
      <c r="J426" s="4"/>
      <c r="K426" s="4"/>
      <c r="L426" s="4"/>
      <c r="M426" s="4"/>
      <c r="N426" s="4"/>
      <c r="O426" s="4"/>
      <c r="P426" s="4"/>
      <c r="Q426" s="2"/>
      <c r="R426" s="1"/>
      <c r="S426" s="1"/>
    </row>
    <row r="427" spans="1:17" ht="24" customHeight="1">
      <c r="A427" s="181"/>
      <c r="B427" s="91" t="s">
        <v>305</v>
      </c>
      <c r="C427" s="91" t="s">
        <v>54</v>
      </c>
      <c r="D427" s="91">
        <f>1.15*(1+1.2)/2/100*70%+1.15*0.02/100</f>
        <v>0.009085</v>
      </c>
      <c r="E427" s="103">
        <f>D427*E425</f>
        <v>44.552839999999996</v>
      </c>
      <c r="F427" s="518"/>
      <c r="G427" s="513"/>
      <c r="H427" s="4"/>
      <c r="I427" s="27" t="e">
        <f>#REF!</f>
        <v>#REF!</v>
      </c>
      <c r="J427" s="63" t="e">
        <f>#REF!</f>
        <v>#REF!</v>
      </c>
      <c r="K427" s="4"/>
      <c r="L427" s="4"/>
      <c r="M427" s="4"/>
      <c r="N427" s="4"/>
      <c r="O427" s="4"/>
      <c r="P427" s="4"/>
      <c r="Q427" s="2"/>
    </row>
    <row r="428" spans="1:17" s="3" customFormat="1" ht="24" customHeight="1">
      <c r="A428" s="181"/>
      <c r="B428" s="91" t="s">
        <v>179</v>
      </c>
      <c r="C428" s="91" t="s">
        <v>94</v>
      </c>
      <c r="D428" s="91">
        <f>(79+29+92+32)/2/100</f>
        <v>1.16</v>
      </c>
      <c r="E428" s="246">
        <f>E425*D428</f>
        <v>5688.639999999999</v>
      </c>
      <c r="F428" s="518"/>
      <c r="G428" s="513"/>
      <c r="H428" s="4"/>
      <c r="I428" s="27" t="e">
        <f>#REF!</f>
        <v>#REF!</v>
      </c>
      <c r="J428" s="4"/>
      <c r="K428" s="4"/>
      <c r="L428" s="4"/>
      <c r="M428" s="4"/>
      <c r="N428" s="4"/>
      <c r="O428" s="4"/>
      <c r="P428" s="4"/>
      <c r="Q428" s="2"/>
    </row>
    <row r="429" spans="1:17" ht="23.25" customHeight="1">
      <c r="A429" s="181"/>
      <c r="B429" s="91" t="s">
        <v>306</v>
      </c>
      <c r="C429" s="91" t="s">
        <v>54</v>
      </c>
      <c r="D429" s="91">
        <f>(1.6+1.8)/2/100*70%+0.42/100</f>
        <v>0.0161</v>
      </c>
      <c r="E429" s="103">
        <f>D429*E425</f>
        <v>78.95439999999999</v>
      </c>
      <c r="F429" s="518"/>
      <c r="G429" s="513"/>
      <c r="H429" s="3"/>
      <c r="I429" s="27" t="e">
        <f>#REF!</f>
        <v>#REF!</v>
      </c>
      <c r="N429" s="3"/>
      <c r="O429" s="3"/>
      <c r="P429" s="3"/>
      <c r="Q429" s="2"/>
    </row>
    <row r="430" spans="1:19" ht="45.75" customHeight="1">
      <c r="A430" s="350" t="s">
        <v>690</v>
      </c>
      <c r="B430" s="245" t="s">
        <v>850</v>
      </c>
      <c r="C430" s="245" t="s">
        <v>74</v>
      </c>
      <c r="D430" s="245"/>
      <c r="E430" s="356">
        <f>E425</f>
        <v>4904</v>
      </c>
      <c r="F430" s="510"/>
      <c r="G430" s="511"/>
      <c r="H430" s="1"/>
      <c r="I430" s="27" t="e">
        <f>#REF!</f>
        <v>#REF!</v>
      </c>
      <c r="J430" s="1"/>
      <c r="K430" s="1"/>
      <c r="L430" s="1"/>
      <c r="M430" s="1"/>
      <c r="Q430" s="2"/>
      <c r="R430" s="3"/>
      <c r="S430" s="3"/>
    </row>
    <row r="431" spans="1:19" ht="24" customHeight="1">
      <c r="A431" s="181"/>
      <c r="B431" s="91" t="s">
        <v>301</v>
      </c>
      <c r="C431" s="91" t="s">
        <v>44</v>
      </c>
      <c r="D431" s="91">
        <f>1.15*(65.8+85.6)/2/100*30%</f>
        <v>0.2611649999999999</v>
      </c>
      <c r="E431" s="103">
        <f>D431*E430</f>
        <v>1280.7531599999995</v>
      </c>
      <c r="F431" s="518"/>
      <c r="G431" s="513"/>
      <c r="H431" s="55" t="e">
        <f>#REF!/#REF!</f>
        <v>#REF!</v>
      </c>
      <c r="I431" s="27" t="e">
        <f>#REF!</f>
        <v>#REF!</v>
      </c>
      <c r="J431" s="1"/>
      <c r="K431" s="1"/>
      <c r="L431" s="1"/>
      <c r="M431" s="1"/>
      <c r="Q431" s="2"/>
      <c r="R431" s="3"/>
      <c r="S431" s="3"/>
    </row>
    <row r="432" spans="1:19" ht="22.5" customHeight="1">
      <c r="A432" s="181"/>
      <c r="B432" s="91" t="s">
        <v>302</v>
      </c>
      <c r="C432" s="91" t="s">
        <v>54</v>
      </c>
      <c r="D432" s="91">
        <f>1.15*(1+1.2)/2/100*30%</f>
        <v>0.0037949999999999998</v>
      </c>
      <c r="E432" s="103">
        <f>D432*E430</f>
        <v>18.61068</v>
      </c>
      <c r="F432" s="518"/>
      <c r="G432" s="513"/>
      <c r="H432" s="1"/>
      <c r="I432" s="27" t="e">
        <f>#REF!</f>
        <v>#REF!</v>
      </c>
      <c r="J432" s="63" t="e">
        <f>#REF!</f>
        <v>#REF!</v>
      </c>
      <c r="K432" s="1"/>
      <c r="L432" s="1"/>
      <c r="M432" s="1"/>
      <c r="Q432" s="2"/>
      <c r="R432" s="3"/>
      <c r="S432" s="3"/>
    </row>
    <row r="433" spans="1:19" ht="24" customHeight="1">
      <c r="A433" s="181"/>
      <c r="B433" s="91" t="s">
        <v>178</v>
      </c>
      <c r="C433" s="91" t="s">
        <v>94</v>
      </c>
      <c r="D433" s="91">
        <v>0.63</v>
      </c>
      <c r="E433" s="103">
        <f>D433*E430</f>
        <v>3089.52</v>
      </c>
      <c r="F433" s="518"/>
      <c r="G433" s="513"/>
      <c r="H433" s="1"/>
      <c r="I433" s="27" t="e">
        <f>#REF!</f>
        <v>#REF!</v>
      </c>
      <c r="J433" s="1"/>
      <c r="K433" s="1"/>
      <c r="L433" s="1"/>
      <c r="M433" s="1"/>
      <c r="Q433" s="2"/>
      <c r="R433" s="3"/>
      <c r="S433" s="3"/>
    </row>
    <row r="434" spans="1:17" s="3" customFormat="1" ht="27" customHeight="1">
      <c r="A434" s="181"/>
      <c r="B434" s="91" t="s">
        <v>303</v>
      </c>
      <c r="C434" s="91" t="s">
        <v>54</v>
      </c>
      <c r="D434" s="91">
        <f>(1.6+1.8)/2/100*30%</f>
        <v>0.0051</v>
      </c>
      <c r="E434" s="103">
        <f>D434*E430</f>
        <v>25.0104</v>
      </c>
      <c r="F434" s="518"/>
      <c r="G434" s="513"/>
      <c r="H434" s="1"/>
      <c r="I434" s="27" t="e">
        <f>#REF!</f>
        <v>#REF!</v>
      </c>
      <c r="J434" s="1"/>
      <c r="K434" s="1"/>
      <c r="L434" s="1"/>
      <c r="M434" s="1"/>
      <c r="N434" s="1"/>
      <c r="O434" s="1"/>
      <c r="P434" s="1"/>
      <c r="Q434" s="2"/>
    </row>
    <row r="435" spans="1:19" ht="41.25" customHeight="1">
      <c r="A435" s="234">
        <v>79</v>
      </c>
      <c r="B435" s="133" t="s">
        <v>790</v>
      </c>
      <c r="C435" s="133" t="s">
        <v>80</v>
      </c>
      <c r="D435" s="133"/>
      <c r="E435" s="242">
        <v>1423</v>
      </c>
      <c r="F435" s="510"/>
      <c r="G435" s="530"/>
      <c r="H435" s="3"/>
      <c r="I435" s="27" t="e">
        <f>#REF!</f>
        <v>#REF!</v>
      </c>
      <c r="N435" s="3"/>
      <c r="O435" s="3"/>
      <c r="P435" s="3"/>
      <c r="Q435" s="2"/>
      <c r="R435" s="3"/>
      <c r="S435" s="3"/>
    </row>
    <row r="436" spans="1:19" s="3" customFormat="1" ht="24" customHeight="1">
      <c r="A436" s="181"/>
      <c r="B436" s="91" t="s">
        <v>58</v>
      </c>
      <c r="C436" s="91" t="s">
        <v>44</v>
      </c>
      <c r="D436" s="91">
        <v>0.93</v>
      </c>
      <c r="E436" s="86">
        <f>D436*E435</f>
        <v>1323.39</v>
      </c>
      <c r="F436" s="518"/>
      <c r="G436" s="531"/>
      <c r="H436" s="1"/>
      <c r="I436" s="27" t="e">
        <f>#REF!</f>
        <v>#REF!</v>
      </c>
      <c r="J436" s="1"/>
      <c r="K436" s="1"/>
      <c r="L436" s="1"/>
      <c r="M436" s="1"/>
      <c r="N436" s="1"/>
      <c r="O436" s="1"/>
      <c r="P436" s="1"/>
      <c r="Q436" s="4"/>
      <c r="R436" s="1"/>
      <c r="S436" s="1"/>
    </row>
    <row r="437" spans="1:19" s="3" customFormat="1" ht="21.75" customHeight="1">
      <c r="A437" s="181"/>
      <c r="B437" s="91" t="s">
        <v>478</v>
      </c>
      <c r="C437" s="87" t="s">
        <v>62</v>
      </c>
      <c r="D437" s="91">
        <v>0.024</v>
      </c>
      <c r="E437" s="86">
        <f>D437*E435</f>
        <v>34.152</v>
      </c>
      <c r="F437" s="518"/>
      <c r="G437" s="531"/>
      <c r="H437" s="1"/>
      <c r="I437" s="27" t="e">
        <f>#REF!</f>
        <v>#REF!</v>
      </c>
      <c r="J437" s="1"/>
      <c r="K437" s="1"/>
      <c r="L437" s="1"/>
      <c r="M437" s="1"/>
      <c r="N437" s="1"/>
      <c r="O437" s="1"/>
      <c r="P437" s="1"/>
      <c r="Q437" s="4"/>
      <c r="R437" s="1"/>
      <c r="S437" s="1"/>
    </row>
    <row r="438" spans="1:19" s="3" customFormat="1" ht="18" customHeight="1">
      <c r="A438" s="181"/>
      <c r="B438" s="91" t="s">
        <v>479</v>
      </c>
      <c r="C438" s="91" t="s">
        <v>54</v>
      </c>
      <c r="D438" s="91">
        <v>0.026000000000000002</v>
      </c>
      <c r="E438" s="86">
        <f>D438*E435</f>
        <v>36.998000000000005</v>
      </c>
      <c r="F438" s="518"/>
      <c r="G438" s="531"/>
      <c r="H438" s="55" t="e">
        <f>#REF!/#REF!</f>
        <v>#REF!</v>
      </c>
      <c r="I438" s="27" t="e">
        <f>#REF!</f>
        <v>#REF!</v>
      </c>
      <c r="J438" s="58"/>
      <c r="K438" s="1"/>
      <c r="L438" s="1"/>
      <c r="M438" s="1"/>
      <c r="N438" s="1"/>
      <c r="O438" s="1"/>
      <c r="P438" s="1"/>
      <c r="Q438" s="4"/>
      <c r="R438" s="1"/>
      <c r="S438" s="1"/>
    </row>
    <row r="439" spans="1:17" s="3" customFormat="1" ht="17.25" customHeight="1">
      <c r="A439" s="181"/>
      <c r="B439" s="91" t="s">
        <v>480</v>
      </c>
      <c r="C439" s="91" t="s">
        <v>52</v>
      </c>
      <c r="D439" s="91">
        <v>0.0255</v>
      </c>
      <c r="E439" s="114">
        <f>D439*E435</f>
        <v>36.2865</v>
      </c>
      <c r="F439" s="518"/>
      <c r="G439" s="531"/>
      <c r="H439" s="8"/>
      <c r="I439" s="27" t="e">
        <f>#REF!</f>
        <v>#REF!</v>
      </c>
      <c r="J439" s="57" t="e">
        <f>#REF!</f>
        <v>#REF!</v>
      </c>
      <c r="K439" s="1"/>
      <c r="L439" s="1"/>
      <c r="M439" s="1"/>
      <c r="N439" s="1"/>
      <c r="O439" s="1"/>
      <c r="P439" s="1"/>
      <c r="Q439" s="4"/>
    </row>
    <row r="440" spans="1:19" s="3" customFormat="1" ht="48.75" customHeight="1">
      <c r="A440" s="234">
        <v>80</v>
      </c>
      <c r="B440" s="133" t="s">
        <v>843</v>
      </c>
      <c r="C440" s="405" t="s">
        <v>61</v>
      </c>
      <c r="D440" s="199"/>
      <c r="E440" s="403">
        <v>505</v>
      </c>
      <c r="F440" s="506"/>
      <c r="G440" s="507"/>
      <c r="H440" s="8"/>
      <c r="I440" s="27" t="e">
        <f>#REF!</f>
        <v>#REF!</v>
      </c>
      <c r="J440" s="26"/>
      <c r="K440" s="1"/>
      <c r="L440" s="1"/>
      <c r="M440" s="1"/>
      <c r="N440" s="1"/>
      <c r="O440" s="1"/>
      <c r="P440" s="1"/>
      <c r="R440" s="1"/>
      <c r="S440" s="1"/>
    </row>
    <row r="441" spans="1:17" s="3" customFormat="1" ht="19.5" customHeight="1">
      <c r="A441" s="181"/>
      <c r="B441" s="91" t="s">
        <v>704</v>
      </c>
      <c r="C441" s="113" t="s">
        <v>44</v>
      </c>
      <c r="D441" s="113">
        <f>1.15*4.16*0.1</f>
        <v>0.4784</v>
      </c>
      <c r="E441" s="122">
        <f>D441*E440</f>
        <v>241.59199999999998</v>
      </c>
      <c r="F441" s="519"/>
      <c r="G441" s="509"/>
      <c r="H441" s="67"/>
      <c r="I441" s="27" t="e">
        <f>#REF!</f>
        <v>#REF!</v>
      </c>
      <c r="J441" s="68"/>
      <c r="K441" s="69"/>
      <c r="L441" s="69"/>
      <c r="M441" s="69"/>
      <c r="N441" s="69"/>
      <c r="O441" s="69"/>
      <c r="P441" s="69"/>
      <c r="Q441" s="1"/>
    </row>
    <row r="442" spans="1:19" ht="22.5" customHeight="1">
      <c r="A442" s="181"/>
      <c r="B442" s="91" t="s">
        <v>705</v>
      </c>
      <c r="C442" s="113" t="s">
        <v>54</v>
      </c>
      <c r="D442" s="113">
        <f>1.15*0.2*0.1</f>
        <v>0.023</v>
      </c>
      <c r="E442" s="122">
        <f>D442*E440</f>
        <v>11.615</v>
      </c>
      <c r="F442" s="519"/>
      <c r="G442" s="509"/>
      <c r="H442" s="70"/>
      <c r="I442" s="27" t="e">
        <f>#REF!</f>
        <v>#REF!</v>
      </c>
      <c r="J442" s="75"/>
      <c r="K442" s="69"/>
      <c r="L442" s="69"/>
      <c r="M442" s="69"/>
      <c r="N442" s="69"/>
      <c r="O442" s="69"/>
      <c r="P442" s="69"/>
      <c r="R442" s="3"/>
      <c r="S442" s="3"/>
    </row>
    <row r="443" spans="1:19" ht="23.25" customHeight="1">
      <c r="A443" s="181"/>
      <c r="B443" s="91" t="s">
        <v>846</v>
      </c>
      <c r="C443" s="113" t="s">
        <v>52</v>
      </c>
      <c r="D443" s="113">
        <v>0.003</v>
      </c>
      <c r="E443" s="122">
        <f>D443*E440</f>
        <v>1.5150000000000001</v>
      </c>
      <c r="F443" s="519"/>
      <c r="G443" s="509"/>
      <c r="H443" s="8"/>
      <c r="I443" s="27" t="e">
        <f>#REF!</f>
        <v>#REF!</v>
      </c>
      <c r="J443" s="76"/>
      <c r="K443" s="1"/>
      <c r="L443" s="1"/>
      <c r="M443" s="1"/>
      <c r="R443" s="3"/>
      <c r="S443" s="3"/>
    </row>
    <row r="444" spans="1:19" ht="21" customHeight="1">
      <c r="A444" s="181"/>
      <c r="B444" s="91" t="s">
        <v>706</v>
      </c>
      <c r="C444" s="113" t="s">
        <v>54</v>
      </c>
      <c r="D444" s="413">
        <f>0.001*0.1</f>
        <v>0.0001</v>
      </c>
      <c r="E444" s="122">
        <f>E440*D444</f>
        <v>0.0505</v>
      </c>
      <c r="F444" s="519"/>
      <c r="G444" s="509"/>
      <c r="H444" s="55" t="e">
        <f>#REF!/#REF!</f>
        <v>#REF!</v>
      </c>
      <c r="I444" s="27" t="e">
        <f>#REF!</f>
        <v>#REF!</v>
      </c>
      <c r="J444" s="1"/>
      <c r="K444" s="1"/>
      <c r="L444" s="1"/>
      <c r="M444" s="1"/>
      <c r="R444" s="2"/>
      <c r="S444" s="2"/>
    </row>
    <row r="445" spans="1:19" s="3" customFormat="1" ht="37.5" customHeight="1">
      <c r="A445" s="234">
        <v>81</v>
      </c>
      <c r="B445" s="431" t="s">
        <v>893</v>
      </c>
      <c r="C445" s="405" t="s">
        <v>61</v>
      </c>
      <c r="D445" s="199"/>
      <c r="E445" s="403">
        <v>101</v>
      </c>
      <c r="F445" s="506"/>
      <c r="G445" s="507"/>
      <c r="H445" s="58"/>
      <c r="I445" s="27" t="e">
        <f>#REF!</f>
        <v>#REF!</v>
      </c>
      <c r="J445" s="53" t="e">
        <f>#REF!</f>
        <v>#REF!</v>
      </c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21" customHeight="1">
      <c r="A446" s="181"/>
      <c r="B446" s="91" t="s">
        <v>617</v>
      </c>
      <c r="C446" s="113" t="s">
        <v>61</v>
      </c>
      <c r="D446" s="113">
        <v>1</v>
      </c>
      <c r="E446" s="122">
        <f>D446*E445</f>
        <v>101</v>
      </c>
      <c r="F446" s="519"/>
      <c r="G446" s="509"/>
      <c r="H446" s="58"/>
      <c r="I446" s="27" t="e">
        <f>#REF!</f>
        <v>#REF!</v>
      </c>
      <c r="J446" s="1"/>
      <c r="K446" s="1"/>
      <c r="L446" s="1"/>
      <c r="M446" s="1"/>
      <c r="Q446" s="3"/>
      <c r="R446" s="2"/>
      <c r="S446" s="2"/>
    </row>
    <row r="447" spans="1:19" s="3" customFormat="1" ht="23.25" customHeight="1">
      <c r="A447" s="181"/>
      <c r="B447" s="91" t="s">
        <v>848</v>
      </c>
      <c r="C447" s="113" t="s">
        <v>61</v>
      </c>
      <c r="D447" s="113">
        <v>1</v>
      </c>
      <c r="E447" s="122">
        <f>D447*E445</f>
        <v>101</v>
      </c>
      <c r="F447" s="519"/>
      <c r="G447" s="509"/>
      <c r="H447" s="10"/>
      <c r="I447" s="27" t="e">
        <f>#REF!</f>
        <v>#REF!</v>
      </c>
      <c r="Q447" s="1"/>
      <c r="R447" s="2"/>
      <c r="S447" s="2"/>
    </row>
    <row r="448" spans="1:19" s="3" customFormat="1" ht="40.5" customHeight="1">
      <c r="A448" s="234">
        <v>82</v>
      </c>
      <c r="B448" s="133" t="s">
        <v>844</v>
      </c>
      <c r="C448" s="405" t="s">
        <v>61</v>
      </c>
      <c r="D448" s="199"/>
      <c r="E448" s="403">
        <v>243</v>
      </c>
      <c r="F448" s="506"/>
      <c r="G448" s="507"/>
      <c r="I448" s="27" t="e">
        <f>#REF!</f>
        <v>#REF!</v>
      </c>
      <c r="J448" s="66" t="e">
        <f>#REF!</f>
        <v>#REF!</v>
      </c>
      <c r="Q448" s="1"/>
      <c r="R448" s="2"/>
      <c r="S448" s="2"/>
    </row>
    <row r="449" spans="1:19" s="3" customFormat="1" ht="21.75" customHeight="1">
      <c r="A449" s="181"/>
      <c r="B449" s="91" t="s">
        <v>798</v>
      </c>
      <c r="C449" s="113" t="s">
        <v>44</v>
      </c>
      <c r="D449" s="113">
        <f>1.15*4.16*0.45</f>
        <v>2.1528</v>
      </c>
      <c r="E449" s="122">
        <f>D449*E448</f>
        <v>523.1304</v>
      </c>
      <c r="F449" s="519"/>
      <c r="G449" s="509"/>
      <c r="I449" s="27" t="e">
        <f>#REF!</f>
        <v>#REF!</v>
      </c>
      <c r="Q449" s="1"/>
      <c r="R449" s="2"/>
      <c r="S449" s="2"/>
    </row>
    <row r="450" spans="1:17" s="2" customFormat="1" ht="19.5" customHeight="1">
      <c r="A450" s="181"/>
      <c r="B450" s="91" t="s">
        <v>799</v>
      </c>
      <c r="C450" s="113" t="s">
        <v>54</v>
      </c>
      <c r="D450" s="113">
        <f>1.15*0.2*0.45</f>
        <v>0.1035</v>
      </c>
      <c r="E450" s="122">
        <f>D450*E448</f>
        <v>25.150499999999997</v>
      </c>
      <c r="F450" s="519"/>
      <c r="G450" s="509"/>
      <c r="I450" s="27" t="e">
        <f>#REF!</f>
        <v>#REF!</v>
      </c>
      <c r="Q450" s="1"/>
    </row>
    <row r="451" spans="1:17" s="2" customFormat="1" ht="23.25" customHeight="1">
      <c r="A451" s="181"/>
      <c r="B451" s="91" t="s">
        <v>845</v>
      </c>
      <c r="C451" s="113" t="s">
        <v>52</v>
      </c>
      <c r="D451" s="113">
        <v>0.0135</v>
      </c>
      <c r="E451" s="122">
        <f>D451*E448</f>
        <v>3.2805</v>
      </c>
      <c r="F451" s="519"/>
      <c r="G451" s="509"/>
      <c r="H451" s="55" t="e">
        <f>#REF!/#REF!</f>
        <v>#REF!</v>
      </c>
      <c r="I451" s="27" t="e">
        <f>#REF!</f>
        <v>#REF!</v>
      </c>
      <c r="J451" s="58"/>
      <c r="K451" s="1"/>
      <c r="L451" s="1"/>
      <c r="M451" s="1"/>
      <c r="N451" s="1"/>
      <c r="O451" s="1"/>
      <c r="P451" s="1"/>
      <c r="Q451" s="1"/>
    </row>
    <row r="452" spans="1:17" s="2" customFormat="1" ht="24.75" customHeight="1">
      <c r="A452" s="181"/>
      <c r="B452" s="91" t="s">
        <v>800</v>
      </c>
      <c r="C452" s="113" t="s">
        <v>54</v>
      </c>
      <c r="D452" s="413">
        <f>0.001*0.45</f>
        <v>0.00045000000000000004</v>
      </c>
      <c r="E452" s="122">
        <f>E448*D452</f>
        <v>0.10935000000000002</v>
      </c>
      <c r="F452" s="519"/>
      <c r="G452" s="509"/>
      <c r="H452" s="8"/>
      <c r="I452" s="27" t="e">
        <f>#REF!</f>
        <v>#REF!</v>
      </c>
      <c r="J452" s="57" t="e">
        <f>#REF!</f>
        <v>#REF!</v>
      </c>
      <c r="K452" s="1"/>
      <c r="L452" s="1"/>
      <c r="M452" s="1"/>
      <c r="N452" s="1"/>
      <c r="O452" s="1"/>
      <c r="P452" s="1"/>
      <c r="Q452" s="69"/>
    </row>
    <row r="453" spans="1:17" s="2" customFormat="1" ht="63" customHeight="1">
      <c r="A453" s="198" t="s">
        <v>692</v>
      </c>
      <c r="B453" s="133" t="s">
        <v>847</v>
      </c>
      <c r="C453" s="133" t="s">
        <v>74</v>
      </c>
      <c r="D453" s="133"/>
      <c r="E453" s="349">
        <v>1612</v>
      </c>
      <c r="F453" s="510"/>
      <c r="G453" s="511"/>
      <c r="H453" s="8"/>
      <c r="I453" s="27" t="e">
        <f>#REF!</f>
        <v>#REF!</v>
      </c>
      <c r="J453" s="26"/>
      <c r="K453" s="1"/>
      <c r="L453" s="1"/>
      <c r="M453" s="1"/>
      <c r="N453" s="1"/>
      <c r="O453" s="1"/>
      <c r="P453" s="1"/>
      <c r="Q453" s="69"/>
    </row>
    <row r="454" spans="1:17" s="2" customFormat="1" ht="26.25" customHeight="1">
      <c r="A454" s="126"/>
      <c r="B454" s="91" t="s">
        <v>304</v>
      </c>
      <c r="C454" s="91" t="s">
        <v>44</v>
      </c>
      <c r="D454" s="91">
        <f>1.15*(65.8+85.6)/2/100*70%+1.15*(11.5+15.8)/2/100</f>
        <v>0.7663599999999998</v>
      </c>
      <c r="E454" s="122">
        <f>D454*E453</f>
        <v>1235.3723199999997</v>
      </c>
      <c r="F454" s="519"/>
      <c r="G454" s="509"/>
      <c r="H454" s="67"/>
      <c r="I454" s="27" t="e">
        <f>#REF!</f>
        <v>#REF!</v>
      </c>
      <c r="J454" s="68"/>
      <c r="K454" s="69"/>
      <c r="L454" s="69"/>
      <c r="M454" s="69"/>
      <c r="N454" s="69"/>
      <c r="O454" s="69"/>
      <c r="P454" s="69"/>
      <c r="Q454" s="1"/>
    </row>
    <row r="455" spans="1:17" s="2" customFormat="1" ht="24.75" customHeight="1">
      <c r="A455" s="126"/>
      <c r="B455" s="113" t="s">
        <v>707</v>
      </c>
      <c r="C455" s="113" t="s">
        <v>54</v>
      </c>
      <c r="D455" s="113">
        <f>1.15*0.009</f>
        <v>0.010349999999999998</v>
      </c>
      <c r="E455" s="183">
        <f>D455*E453</f>
        <v>16.684199999999997</v>
      </c>
      <c r="F455" s="519"/>
      <c r="G455" s="509"/>
      <c r="H455" s="70"/>
      <c r="I455" s="27" t="e">
        <f>#REF!</f>
        <v>#REF!</v>
      </c>
      <c r="J455" s="75"/>
      <c r="K455" s="69"/>
      <c r="L455" s="69"/>
      <c r="M455" s="69"/>
      <c r="N455" s="69"/>
      <c r="O455" s="69"/>
      <c r="P455" s="69"/>
      <c r="Q455" s="1"/>
    </row>
    <row r="456" spans="1:17" s="2" customFormat="1" ht="21" customHeight="1">
      <c r="A456" s="126"/>
      <c r="B456" s="113" t="s">
        <v>708</v>
      </c>
      <c r="C456" s="113" t="s">
        <v>74</v>
      </c>
      <c r="D456" s="113">
        <v>1.08</v>
      </c>
      <c r="E456" s="122">
        <f>E453*D456</f>
        <v>1740.96</v>
      </c>
      <c r="F456" s="519"/>
      <c r="G456" s="509"/>
      <c r="H456" s="58"/>
      <c r="I456" s="27" t="e">
        <f>#REF!</f>
        <v>#REF!</v>
      </c>
      <c r="J456" s="53" t="e">
        <f>#REF!</f>
        <v>#REF!</v>
      </c>
      <c r="K456" s="1"/>
      <c r="L456" s="1"/>
      <c r="M456" s="1"/>
      <c r="N456" s="1"/>
      <c r="O456" s="1"/>
      <c r="P456" s="1"/>
      <c r="Q456" s="1"/>
    </row>
    <row r="457" spans="1:17" s="2" customFormat="1" ht="24.75" customHeight="1">
      <c r="A457" s="126"/>
      <c r="B457" s="113" t="s">
        <v>791</v>
      </c>
      <c r="C457" s="113" t="s">
        <v>94</v>
      </c>
      <c r="D457" s="113">
        <v>1.25</v>
      </c>
      <c r="E457" s="122">
        <f>D457*E453</f>
        <v>2015</v>
      </c>
      <c r="F457" s="519"/>
      <c r="G457" s="509"/>
      <c r="H457" s="58"/>
      <c r="I457" s="27" t="e">
        <f>#REF!</f>
        <v>#REF!</v>
      </c>
      <c r="J457" s="1"/>
      <c r="K457" s="1"/>
      <c r="L457" s="1"/>
      <c r="M457" s="1"/>
      <c r="N457" s="1"/>
      <c r="O457" s="1"/>
      <c r="P457" s="1"/>
      <c r="Q457" s="1"/>
    </row>
    <row r="458" spans="1:19" s="2" customFormat="1" ht="21.75" customHeight="1">
      <c r="A458" s="126"/>
      <c r="B458" s="113" t="s">
        <v>56</v>
      </c>
      <c r="C458" s="113" t="s">
        <v>54</v>
      </c>
      <c r="D458" s="113">
        <v>0.02</v>
      </c>
      <c r="E458" s="183">
        <f>D458*E453</f>
        <v>32.24</v>
      </c>
      <c r="F458" s="519"/>
      <c r="G458" s="509"/>
      <c r="H458" s="10"/>
      <c r="I458" s="27" t="e">
        <f>#REF!</f>
        <v>#REF!</v>
      </c>
      <c r="J458" s="3"/>
      <c r="K458" s="3"/>
      <c r="L458" s="3"/>
      <c r="M458" s="3"/>
      <c r="N458" s="3"/>
      <c r="O458" s="3"/>
      <c r="P458" s="3"/>
      <c r="Q458" s="3"/>
      <c r="R458" s="4"/>
      <c r="S458" s="4"/>
    </row>
    <row r="459" spans="1:19" s="2" customFormat="1" ht="58.5" customHeight="1">
      <c r="A459" s="198" t="s">
        <v>693</v>
      </c>
      <c r="B459" s="133" t="s">
        <v>792</v>
      </c>
      <c r="C459" s="133" t="s">
        <v>74</v>
      </c>
      <c r="D459" s="133"/>
      <c r="E459" s="349">
        <v>1612</v>
      </c>
      <c r="F459" s="510"/>
      <c r="G459" s="511"/>
      <c r="H459" s="58"/>
      <c r="I459" s="27" t="e">
        <f>#REF!</f>
        <v>#REF!</v>
      </c>
      <c r="J459" s="1"/>
      <c r="K459" s="1"/>
      <c r="L459" s="1"/>
      <c r="M459" s="1"/>
      <c r="N459" s="1"/>
      <c r="O459" s="1"/>
      <c r="P459" s="1"/>
      <c r="Q459" s="1"/>
      <c r="R459" s="4"/>
      <c r="S459" s="4"/>
    </row>
    <row r="460" spans="1:19" s="2" customFormat="1" ht="30" customHeight="1">
      <c r="A460" s="181"/>
      <c r="B460" s="91" t="s">
        <v>301</v>
      </c>
      <c r="C460" s="91" t="s">
        <v>44</v>
      </c>
      <c r="D460" s="91">
        <f>1.15*(65.8+85.6)/2/100*30%</f>
        <v>0.2611649999999999</v>
      </c>
      <c r="E460" s="86">
        <f>D460*E459</f>
        <v>420.99797999999987</v>
      </c>
      <c r="F460" s="518"/>
      <c r="G460" s="513"/>
      <c r="H460" s="55" t="e">
        <f>#REF!/#REF!</f>
        <v>#REF!</v>
      </c>
      <c r="I460" s="27" t="e">
        <f>#REF!</f>
        <v>#REF!</v>
      </c>
      <c r="J460" s="3"/>
      <c r="K460" s="3"/>
      <c r="L460" s="3"/>
      <c r="M460" s="3"/>
      <c r="N460" s="3"/>
      <c r="O460" s="3"/>
      <c r="P460" s="3"/>
      <c r="Q460" s="3"/>
      <c r="R460" s="4"/>
      <c r="S460" s="4"/>
    </row>
    <row r="461" spans="1:17" s="2" customFormat="1" ht="24.75" customHeight="1">
      <c r="A461" s="181"/>
      <c r="B461" s="91" t="s">
        <v>702</v>
      </c>
      <c r="C461" s="91" t="s">
        <v>54</v>
      </c>
      <c r="D461" s="91">
        <f>1.15*(1+0.02+1.2+0.02)/2/100</f>
        <v>0.012879999999999997</v>
      </c>
      <c r="E461" s="112">
        <f>D461*E459</f>
        <v>20.762559999999997</v>
      </c>
      <c r="F461" s="518"/>
      <c r="G461" s="513"/>
      <c r="H461" s="3"/>
      <c r="I461" s="27" t="e">
        <f>#REF!</f>
        <v>#REF!</v>
      </c>
      <c r="J461" s="8" t="e">
        <f>#REF!</f>
        <v>#REF!</v>
      </c>
      <c r="K461" s="3"/>
      <c r="L461" s="3"/>
      <c r="M461" s="3"/>
      <c r="N461" s="3"/>
      <c r="O461" s="3"/>
      <c r="P461" s="3"/>
      <c r="Q461" s="3"/>
    </row>
    <row r="462" spans="1:19" s="2" customFormat="1" ht="30.75" customHeight="1">
      <c r="A462" s="181"/>
      <c r="B462" s="91" t="s">
        <v>793</v>
      </c>
      <c r="C462" s="91" t="s">
        <v>94</v>
      </c>
      <c r="D462" s="91">
        <v>0.63</v>
      </c>
      <c r="E462" s="86">
        <f>D462*E459</f>
        <v>1015.5600000000001</v>
      </c>
      <c r="F462" s="518"/>
      <c r="G462" s="513"/>
      <c r="H462" s="3"/>
      <c r="I462" s="27" t="e">
        <f>#REF!</f>
        <v>#REF!</v>
      </c>
      <c r="J462" s="3"/>
      <c r="K462" s="3"/>
      <c r="L462" s="3"/>
      <c r="M462" s="3"/>
      <c r="N462" s="3"/>
      <c r="O462" s="3"/>
      <c r="P462" s="3"/>
      <c r="Q462" s="3"/>
      <c r="R462" s="4"/>
      <c r="S462" s="4"/>
    </row>
    <row r="463" spans="1:19" s="2" customFormat="1" ht="25.5" customHeight="1">
      <c r="A463" s="181"/>
      <c r="B463" s="91" t="s">
        <v>703</v>
      </c>
      <c r="C463" s="91" t="s">
        <v>54</v>
      </c>
      <c r="D463" s="91">
        <f>(1.6+0.42+1.8+0.42)/2/100</f>
        <v>0.0212</v>
      </c>
      <c r="E463" s="112">
        <f>D463*E459</f>
        <v>34.1744</v>
      </c>
      <c r="F463" s="518"/>
      <c r="G463" s="513"/>
      <c r="I463" s="27" t="e">
        <f>#REF!</f>
        <v>#REF!</v>
      </c>
      <c r="R463" s="4"/>
      <c r="S463" s="4"/>
    </row>
    <row r="464" spans="1:17" s="4" customFormat="1" ht="42.75" customHeight="1">
      <c r="A464" s="234">
        <v>85</v>
      </c>
      <c r="B464" s="133" t="s">
        <v>709</v>
      </c>
      <c r="C464" s="359" t="s">
        <v>180</v>
      </c>
      <c r="D464" s="133"/>
      <c r="E464" s="243">
        <v>18.1</v>
      </c>
      <c r="F464" s="510"/>
      <c r="G464" s="511"/>
      <c r="H464" s="2"/>
      <c r="I464" s="27" t="e">
        <f>#REF!</f>
        <v>#REF!</v>
      </c>
      <c r="J464" s="2"/>
      <c r="K464" s="2"/>
      <c r="L464" s="2"/>
      <c r="M464" s="2"/>
      <c r="N464" s="2"/>
      <c r="O464" s="2"/>
      <c r="P464" s="2"/>
      <c r="Q464" s="1"/>
    </row>
    <row r="465" spans="1:17" s="4" customFormat="1" ht="19.5" customHeight="1">
      <c r="A465" s="181"/>
      <c r="B465" s="91" t="s">
        <v>184</v>
      </c>
      <c r="C465" s="91" t="s">
        <v>44</v>
      </c>
      <c r="D465" s="91">
        <f>1.15*45.9</f>
        <v>52.785</v>
      </c>
      <c r="E465" s="86">
        <f>D465*E464</f>
        <v>955.4085</v>
      </c>
      <c r="F465" s="518"/>
      <c r="G465" s="513"/>
      <c r="H465" s="2"/>
      <c r="I465" s="27" t="e">
        <f>#REF!</f>
        <v>#REF!</v>
      </c>
      <c r="J465" s="2"/>
      <c r="K465" s="2"/>
      <c r="L465" s="2"/>
      <c r="M465" s="2"/>
      <c r="N465" s="2"/>
      <c r="O465" s="2"/>
      <c r="P465" s="2"/>
      <c r="Q465" s="1"/>
    </row>
    <row r="466" spans="1:19" s="2" customFormat="1" ht="21.75" customHeight="1">
      <c r="A466" s="181"/>
      <c r="B466" s="91" t="s">
        <v>710</v>
      </c>
      <c r="C466" s="91" t="s">
        <v>54</v>
      </c>
      <c r="D466" s="91">
        <f>1.15*0.23</f>
        <v>0.2645</v>
      </c>
      <c r="E466" s="86">
        <f>D466*E464</f>
        <v>4.787450000000001</v>
      </c>
      <c r="F466" s="518"/>
      <c r="G466" s="513"/>
      <c r="I466" s="27" t="e">
        <f>#REF!</f>
        <v>#REF!</v>
      </c>
      <c r="Q466" s="69"/>
      <c r="R466" s="5"/>
      <c r="S466" s="5"/>
    </row>
    <row r="467" spans="1:17" s="4" customFormat="1" ht="20.25" customHeight="1">
      <c r="A467" s="181"/>
      <c r="B467" s="91" t="s">
        <v>181</v>
      </c>
      <c r="C467" s="91" t="s">
        <v>72</v>
      </c>
      <c r="D467" s="91">
        <v>0.035</v>
      </c>
      <c r="E467" s="86">
        <f>D467*E464</f>
        <v>0.6335000000000001</v>
      </c>
      <c r="F467" s="518"/>
      <c r="G467" s="513"/>
      <c r="H467" s="55" t="e">
        <f>#REF!/#REF!</f>
        <v>#REF!</v>
      </c>
      <c r="I467" s="27" t="e">
        <f>#REF!</f>
        <v>#REF!</v>
      </c>
      <c r="J467" s="3"/>
      <c r="K467" s="3"/>
      <c r="L467" s="3"/>
      <c r="M467" s="3"/>
      <c r="N467" s="3"/>
      <c r="O467" s="3"/>
      <c r="P467" s="3"/>
      <c r="Q467" s="69"/>
    </row>
    <row r="468" spans="1:17" s="4" customFormat="1" ht="20.25" customHeight="1">
      <c r="A468" s="181"/>
      <c r="B468" s="91" t="s">
        <v>182</v>
      </c>
      <c r="C468" s="91" t="s">
        <v>52</v>
      </c>
      <c r="D468" s="91">
        <v>0.009</v>
      </c>
      <c r="E468" s="86">
        <f>D468*E464</f>
        <v>0.1629</v>
      </c>
      <c r="F468" s="518"/>
      <c r="G468" s="513"/>
      <c r="H468" s="3"/>
      <c r="I468" s="27" t="e">
        <f>#REF!</f>
        <v>#REF!</v>
      </c>
      <c r="J468" s="63" t="e">
        <f>#REF!</f>
        <v>#REF!</v>
      </c>
      <c r="K468" s="3"/>
      <c r="L468" s="3"/>
      <c r="M468" s="3"/>
      <c r="N468" s="3"/>
      <c r="O468" s="3"/>
      <c r="P468" s="3"/>
      <c r="Q468" s="1"/>
    </row>
    <row r="469" spans="1:17" s="4" customFormat="1" ht="19.5" customHeight="1">
      <c r="A469" s="181"/>
      <c r="B469" s="91" t="s">
        <v>183</v>
      </c>
      <c r="C469" s="91" t="s">
        <v>80</v>
      </c>
      <c r="D469" s="91">
        <v>3.4</v>
      </c>
      <c r="E469" s="86">
        <f>D469*E464</f>
        <v>61.540000000000006</v>
      </c>
      <c r="F469" s="518"/>
      <c r="G469" s="513"/>
      <c r="H469" s="2"/>
      <c r="I469" s="27" t="e">
        <f>#REF!</f>
        <v>#REF!</v>
      </c>
      <c r="J469" s="2"/>
      <c r="K469" s="2"/>
      <c r="L469" s="2"/>
      <c r="M469" s="2"/>
      <c r="N469" s="2"/>
      <c r="O469" s="2"/>
      <c r="P469" s="2"/>
      <c r="Q469" s="1"/>
    </row>
    <row r="470" spans="1:19" ht="73.5" customHeight="1">
      <c r="A470" s="198" t="s">
        <v>831</v>
      </c>
      <c r="B470" s="431" t="s">
        <v>894</v>
      </c>
      <c r="C470" s="133" t="s">
        <v>594</v>
      </c>
      <c r="D470" s="133"/>
      <c r="E470" s="243">
        <v>1</v>
      </c>
      <c r="F470" s="510"/>
      <c r="G470" s="511"/>
      <c r="H470" s="2"/>
      <c r="I470" s="27"/>
      <c r="J470" s="2"/>
      <c r="K470" s="2"/>
      <c r="L470" s="2"/>
      <c r="M470" s="2"/>
      <c r="N470" s="2"/>
      <c r="O470" s="2"/>
      <c r="P470" s="2"/>
      <c r="R470" s="3"/>
      <c r="S470" s="3"/>
    </row>
    <row r="471" spans="1:19" s="4" customFormat="1" ht="18.75" customHeight="1">
      <c r="A471" s="181"/>
      <c r="B471" s="91" t="s">
        <v>617</v>
      </c>
      <c r="C471" s="91" t="s">
        <v>594</v>
      </c>
      <c r="D471" s="91">
        <v>1</v>
      </c>
      <c r="E471" s="86">
        <f>D471*E470</f>
        <v>1</v>
      </c>
      <c r="F471" s="518"/>
      <c r="G471" s="513"/>
      <c r="H471" s="2"/>
      <c r="I471" s="27"/>
      <c r="J471" s="2"/>
      <c r="K471" s="2"/>
      <c r="L471" s="2"/>
      <c r="M471" s="2"/>
      <c r="N471" s="2"/>
      <c r="O471" s="2"/>
      <c r="P471" s="2"/>
      <c r="Q471" s="1"/>
      <c r="R471" s="1"/>
      <c r="S471" s="1"/>
    </row>
    <row r="472" spans="1:19" s="4" customFormat="1" ht="21" customHeight="1">
      <c r="A472" s="181"/>
      <c r="B472" s="199" t="s">
        <v>185</v>
      </c>
      <c r="C472" s="91" t="s">
        <v>54</v>
      </c>
      <c r="D472" s="91"/>
      <c r="E472" s="86"/>
      <c r="F472" s="516"/>
      <c r="G472" s="507">
        <f>G473+G474</f>
        <v>0</v>
      </c>
      <c r="H472" s="3"/>
      <c r="I472" s="27" t="e">
        <f>#REF!</f>
        <v>#REF!</v>
      </c>
      <c r="J472" s="3"/>
      <c r="K472" s="3"/>
      <c r="L472" s="3"/>
      <c r="M472" s="3"/>
      <c r="N472" s="3"/>
      <c r="O472" s="3"/>
      <c r="P472" s="3"/>
      <c r="Q472" s="1"/>
      <c r="R472" s="1"/>
      <c r="S472" s="1"/>
    </row>
    <row r="473" spans="1:19" s="4" customFormat="1" ht="21.75" customHeight="1">
      <c r="A473" s="181"/>
      <c r="B473" s="199" t="s">
        <v>794</v>
      </c>
      <c r="C473" s="91" t="s">
        <v>54</v>
      </c>
      <c r="D473" s="91"/>
      <c r="E473" s="86"/>
      <c r="F473" s="532"/>
      <c r="G473" s="525">
        <f>G148+G156+G164+G207+G231</f>
        <v>0</v>
      </c>
      <c r="H473" s="3"/>
      <c r="I473" s="27" t="e">
        <f>#REF!</f>
        <v>#REF!</v>
      </c>
      <c r="J473" s="3"/>
      <c r="K473" s="3"/>
      <c r="L473" s="3"/>
      <c r="M473" s="3"/>
      <c r="N473" s="3"/>
      <c r="O473" s="3"/>
      <c r="P473" s="3"/>
      <c r="Q473" s="1"/>
      <c r="R473" s="1"/>
      <c r="S473" s="1"/>
    </row>
    <row r="474" spans="1:19" s="4" customFormat="1" ht="21.75" customHeight="1">
      <c r="A474" s="181"/>
      <c r="B474" s="433" t="s">
        <v>895</v>
      </c>
      <c r="C474" s="91"/>
      <c r="D474" s="91"/>
      <c r="E474" s="86"/>
      <c r="F474" s="516"/>
      <c r="G474" s="507">
        <f>G8+G13+G15+G23+G27+G36+G40+G46+G51+G56+G60+G65+G74+G78+G87+G91+G100+G104+G113+G117+G126+G130+G139+G143+G173+G179+G186+G190+G195+G202+G214+G220+G222+G224+G238+G243+G249+G255+G261+G265+G273+G277+G279+G283+G285+G291+G293+G297+G303+G310+G315+G320+G326+G331+G337+G342+G347+G352+G357+G362+G369+G377+G385+G393+G397+G403+G405+G413+G416+G419+G425+G430+G435+G440+G445+G448+G453+G459+G464+G470</f>
        <v>0</v>
      </c>
      <c r="H474" s="3"/>
      <c r="I474" s="27"/>
      <c r="J474" s="3"/>
      <c r="K474" s="3"/>
      <c r="L474" s="3"/>
      <c r="M474" s="3"/>
      <c r="N474" s="3"/>
      <c r="O474" s="3"/>
      <c r="P474" s="3"/>
      <c r="Q474" s="1"/>
      <c r="R474" s="1"/>
      <c r="S474" s="1"/>
    </row>
    <row r="475" spans="1:9" s="3" customFormat="1" ht="19.5" customHeight="1">
      <c r="A475" s="181"/>
      <c r="B475" s="91" t="s">
        <v>803</v>
      </c>
      <c r="C475" s="91" t="s">
        <v>54</v>
      </c>
      <c r="D475" s="91"/>
      <c r="E475" s="130">
        <v>0.08</v>
      </c>
      <c r="F475" s="532"/>
      <c r="G475" s="533"/>
      <c r="H475" s="62"/>
      <c r="I475" s="27" t="e">
        <f>#REF!</f>
        <v>#REF!</v>
      </c>
    </row>
    <row r="476" spans="1:17" ht="23.25" customHeight="1">
      <c r="A476" s="181"/>
      <c r="B476" s="91" t="s">
        <v>795</v>
      </c>
      <c r="C476" s="91" t="s">
        <v>54</v>
      </c>
      <c r="D476" s="91"/>
      <c r="E476" s="130">
        <v>0.1</v>
      </c>
      <c r="F476" s="516"/>
      <c r="G476" s="517"/>
      <c r="H476" s="62"/>
      <c r="I476" s="27" t="e">
        <f>#REF!</f>
        <v>#REF!</v>
      </c>
      <c r="N476" s="3"/>
      <c r="O476" s="3"/>
      <c r="P476" s="3"/>
      <c r="Q476" s="2"/>
    </row>
    <row r="477" spans="1:17" ht="26.25" customHeight="1">
      <c r="A477" s="181"/>
      <c r="B477" s="91" t="s">
        <v>796</v>
      </c>
      <c r="C477" s="91" t="s">
        <v>54</v>
      </c>
      <c r="D477" s="91"/>
      <c r="E477" s="130"/>
      <c r="F477" s="516"/>
      <c r="G477" s="517"/>
      <c r="H477" s="8"/>
      <c r="I477" s="27" t="e">
        <f>#REF!</f>
        <v>#REF!</v>
      </c>
      <c r="J477" s="26"/>
      <c r="K477" s="1"/>
      <c r="L477" s="1"/>
      <c r="M477" s="1"/>
      <c r="Q477" s="2"/>
    </row>
    <row r="478" spans="1:17" ht="33.75" customHeight="1">
      <c r="A478" s="181"/>
      <c r="B478" s="133" t="s">
        <v>797</v>
      </c>
      <c r="C478" s="133" t="s">
        <v>54</v>
      </c>
      <c r="D478" s="133"/>
      <c r="E478" s="133"/>
      <c r="F478" s="510"/>
      <c r="G478" s="507"/>
      <c r="H478" s="9"/>
      <c r="I478" s="27" t="e">
        <f>#REF!</f>
        <v>#REF!</v>
      </c>
      <c r="J478" s="56"/>
      <c r="K478" s="1"/>
      <c r="L478" s="1"/>
      <c r="M478" s="1"/>
      <c r="Q478" s="2"/>
    </row>
    <row r="479" spans="1:17" ht="21.75" customHeight="1">
      <c r="A479" s="181"/>
      <c r="B479" s="91" t="s">
        <v>69</v>
      </c>
      <c r="C479" s="91" t="s">
        <v>54</v>
      </c>
      <c r="D479" s="91"/>
      <c r="E479" s="130">
        <v>0.08</v>
      </c>
      <c r="F479" s="516"/>
      <c r="G479" s="517"/>
      <c r="H479" s="8"/>
      <c r="I479" s="27" t="e">
        <f>#REF!</f>
        <v>#REF!</v>
      </c>
      <c r="J479" s="57"/>
      <c r="K479" s="1"/>
      <c r="L479" s="1"/>
      <c r="M479" s="1"/>
      <c r="Q479" s="2"/>
    </row>
    <row r="480" spans="1:17" ht="27.75" customHeight="1">
      <c r="A480" s="198"/>
      <c r="B480" s="133" t="s">
        <v>826</v>
      </c>
      <c r="C480" s="133" t="s">
        <v>54</v>
      </c>
      <c r="D480" s="133"/>
      <c r="E480" s="235"/>
      <c r="F480" s="510"/>
      <c r="G480" s="507"/>
      <c r="H480" s="8"/>
      <c r="I480" s="27"/>
      <c r="J480" s="57"/>
      <c r="K480" s="1"/>
      <c r="L480" s="1"/>
      <c r="M480" s="1"/>
      <c r="Q480" s="2"/>
    </row>
    <row r="481" spans="1:19" s="3" customFormat="1" ht="21.75" customHeight="1">
      <c r="A481" s="345"/>
      <c r="B481" s="232" t="s">
        <v>827</v>
      </c>
      <c r="C481" s="232"/>
      <c r="D481" s="232"/>
      <c r="E481" s="233"/>
      <c r="F481" s="534"/>
      <c r="G481" s="535"/>
      <c r="H481" s="8"/>
      <c r="I481" s="27" t="e">
        <f>#REF!</f>
        <v>#REF!</v>
      </c>
      <c r="J481" s="26"/>
      <c r="K481" s="1"/>
      <c r="L481" s="1"/>
      <c r="M481" s="1"/>
      <c r="N481" s="1"/>
      <c r="O481" s="1"/>
      <c r="P481" s="1"/>
      <c r="R481" s="69"/>
      <c r="S481" s="69"/>
    </row>
    <row r="482" spans="1:19" s="3" customFormat="1" ht="29.25" customHeight="1">
      <c r="A482" s="121">
        <f>A476+1</f>
        <v>1</v>
      </c>
      <c r="B482" s="91" t="s">
        <v>832</v>
      </c>
      <c r="C482" s="91" t="s">
        <v>53</v>
      </c>
      <c r="D482" s="83">
        <v>2</v>
      </c>
      <c r="E482" s="417"/>
      <c r="F482" s="536"/>
      <c r="G482" s="537"/>
      <c r="H482" s="11"/>
      <c r="I482" s="11"/>
      <c r="N482" s="1"/>
      <c r="O482" s="1"/>
      <c r="P482" s="1"/>
      <c r="R482" s="69"/>
      <c r="S482" s="69"/>
    </row>
    <row r="483" spans="1:19" ht="24" customHeight="1">
      <c r="A483" s="121">
        <f>A482+1</f>
        <v>2</v>
      </c>
      <c r="B483" s="91" t="s">
        <v>828</v>
      </c>
      <c r="C483" s="91" t="s">
        <v>130</v>
      </c>
      <c r="D483" s="83">
        <v>1</v>
      </c>
      <c r="E483" s="417"/>
      <c r="F483" s="536"/>
      <c r="G483" s="537"/>
      <c r="Q483" s="3"/>
      <c r="R483" s="69"/>
      <c r="S483" s="69"/>
    </row>
    <row r="484" spans="1:7" ht="18.75" customHeight="1">
      <c r="A484" s="121">
        <f>A483+1</f>
        <v>3</v>
      </c>
      <c r="B484" s="91" t="s">
        <v>833</v>
      </c>
      <c r="C484" s="91" t="s">
        <v>53</v>
      </c>
      <c r="D484" s="83">
        <v>2</v>
      </c>
      <c r="E484" s="417"/>
      <c r="F484" s="536"/>
      <c r="G484" s="537"/>
    </row>
    <row r="485" spans="1:7" ht="21" customHeight="1">
      <c r="A485" s="121">
        <f>A483+1</f>
        <v>3</v>
      </c>
      <c r="B485" s="91" t="s">
        <v>829</v>
      </c>
      <c r="C485" s="91" t="s">
        <v>53</v>
      </c>
      <c r="D485" s="83">
        <v>1</v>
      </c>
      <c r="E485" s="417"/>
      <c r="F485" s="536"/>
      <c r="G485" s="537"/>
    </row>
    <row r="486" spans="1:7" ht="22.5" customHeight="1">
      <c r="A486" s="234"/>
      <c r="B486" s="133" t="s">
        <v>830</v>
      </c>
      <c r="C486" s="133"/>
      <c r="D486" s="418"/>
      <c r="E486" s="419"/>
      <c r="F486" s="538"/>
      <c r="G486" s="527"/>
    </row>
    <row r="487" spans="1:7" ht="30.75" customHeight="1">
      <c r="A487" s="121"/>
      <c r="B487" s="133" t="s">
        <v>60</v>
      </c>
      <c r="C487" s="133" t="s">
        <v>54</v>
      </c>
      <c r="D487" s="133"/>
      <c r="E487" s="235"/>
      <c r="F487" s="510"/>
      <c r="G487" s="507"/>
    </row>
    <row r="488" spans="1:7" ht="14.25" customHeight="1">
      <c r="A488" s="137"/>
      <c r="B488" s="77"/>
      <c r="C488" s="138"/>
      <c r="D488" s="138"/>
      <c r="E488" s="138"/>
      <c r="F488" s="429"/>
      <c r="G488" s="430"/>
    </row>
    <row r="489" spans="1:7" ht="21.75" customHeight="1">
      <c r="A489" s="137"/>
      <c r="B489" s="468" t="s">
        <v>896</v>
      </c>
      <c r="C489" s="468"/>
      <c r="D489" s="468"/>
      <c r="E489" s="468"/>
      <c r="F489" s="468"/>
      <c r="G489" s="468"/>
    </row>
    <row r="490" spans="1:6" ht="15.75">
      <c r="A490" s="137"/>
      <c r="B490" s="467"/>
      <c r="C490" s="467"/>
      <c r="D490" s="467"/>
      <c r="E490" s="467"/>
      <c r="F490" s="467"/>
    </row>
    <row r="491" spans="1:7" ht="15.75">
      <c r="A491" s="143"/>
      <c r="B491" s="77"/>
      <c r="C491" s="77"/>
      <c r="D491" s="77"/>
      <c r="E491" s="77"/>
      <c r="F491" s="77"/>
      <c r="G491" s="94"/>
    </row>
    <row r="492" spans="1:7" ht="15.75">
      <c r="A492" s="143"/>
      <c r="B492" s="77"/>
      <c r="C492" s="77"/>
      <c r="D492" s="77"/>
      <c r="E492" s="77"/>
      <c r="F492" s="77"/>
      <c r="G492" s="94"/>
    </row>
    <row r="493" spans="1:7" ht="15.75">
      <c r="A493" s="143"/>
      <c r="B493" s="77"/>
      <c r="C493" s="77"/>
      <c r="D493" s="77"/>
      <c r="E493" s="77"/>
      <c r="F493" s="77"/>
      <c r="G493" s="94"/>
    </row>
    <row r="494" spans="1:7" ht="15.75">
      <c r="A494" s="143"/>
      <c r="B494" s="77"/>
      <c r="C494" s="77"/>
      <c r="D494" s="77"/>
      <c r="E494" s="77"/>
      <c r="F494" s="77"/>
      <c r="G494" s="94"/>
    </row>
    <row r="495" spans="1:7" ht="15.75">
      <c r="A495" s="143"/>
      <c r="B495" s="77"/>
      <c r="C495" s="77"/>
      <c r="D495" s="77"/>
      <c r="E495" s="77"/>
      <c r="F495" s="77"/>
      <c r="G495" s="94"/>
    </row>
    <row r="496" spans="1:7" ht="15.75">
      <c r="A496" s="143"/>
      <c r="B496" s="77"/>
      <c r="C496" s="77"/>
      <c r="D496" s="77"/>
      <c r="E496" s="77"/>
      <c r="F496" s="77"/>
      <c r="G496" s="94"/>
    </row>
    <row r="497" spans="1:7" ht="15.75">
      <c r="A497" s="143"/>
      <c r="B497" s="77"/>
      <c r="C497" s="77"/>
      <c r="D497" s="77"/>
      <c r="E497" s="77"/>
      <c r="F497" s="77"/>
      <c r="G497" s="94"/>
    </row>
    <row r="498" spans="1:7" ht="15.75">
      <c r="A498" s="143"/>
      <c r="B498" s="77"/>
      <c r="C498" s="77"/>
      <c r="D498" s="77"/>
      <c r="E498" s="77"/>
      <c r="F498" s="77"/>
      <c r="G498" s="94"/>
    </row>
    <row r="499" ht="15.75">
      <c r="A499" s="143"/>
    </row>
  </sheetData>
  <sheetProtection password="CF2D" sheet="1"/>
  <mergeCells count="11">
    <mergeCell ref="A1:G1"/>
    <mergeCell ref="A2:G2"/>
    <mergeCell ref="A4:G4"/>
    <mergeCell ref="A3:G3"/>
    <mergeCell ref="B5:B6"/>
    <mergeCell ref="C5:C6"/>
    <mergeCell ref="D5:E5"/>
    <mergeCell ref="B490:F490"/>
    <mergeCell ref="F5:G5"/>
    <mergeCell ref="B489:G489"/>
    <mergeCell ref="A5:A6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M91"/>
  <sheetViews>
    <sheetView zoomScalePageLayoutView="0" workbookViewId="0" topLeftCell="A1">
      <selection activeCell="F8" sqref="F8:G73"/>
    </sheetView>
  </sheetViews>
  <sheetFormatPr defaultColWidth="9.140625" defaultRowHeight="12.75"/>
  <cols>
    <col min="1" max="1" width="4.140625" style="13" customWidth="1"/>
    <col min="2" max="2" width="43.8515625" style="1" customWidth="1"/>
    <col min="3" max="4" width="6.7109375" style="1" customWidth="1"/>
    <col min="5" max="5" width="8.8515625" style="17" customWidth="1"/>
    <col min="6" max="6" width="8.57421875" style="1" customWidth="1"/>
    <col min="7" max="7" width="11.57421875" style="11" customWidth="1"/>
    <col min="8" max="8" width="16.140625" style="11" hidden="1" customWidth="1"/>
    <col min="9" max="9" width="13.8515625" style="7" hidden="1" customWidth="1"/>
    <col min="10" max="10" width="22.140625" style="3" hidden="1" customWidth="1"/>
    <col min="11" max="11" width="17.57421875" style="3" customWidth="1"/>
    <col min="12" max="12" width="12.8515625" style="3" customWidth="1"/>
    <col min="13" max="13" width="9.140625" style="3" customWidth="1"/>
    <col min="14" max="16384" width="9.140625" style="1" customWidth="1"/>
  </cols>
  <sheetData>
    <row r="1" spans="1:13" s="22" customFormat="1" ht="46.5" customHeight="1">
      <c r="A1" s="469" t="s">
        <v>824</v>
      </c>
      <c r="B1" s="470"/>
      <c r="C1" s="470"/>
      <c r="D1" s="470"/>
      <c r="E1" s="470"/>
      <c r="F1" s="470"/>
      <c r="G1" s="470"/>
      <c r="H1" s="3"/>
      <c r="I1" s="21"/>
      <c r="J1" s="20"/>
      <c r="K1" s="20"/>
      <c r="L1" s="20"/>
      <c r="M1" s="20"/>
    </row>
    <row r="2" spans="1:9" ht="19.5" customHeight="1">
      <c r="A2" s="471" t="s">
        <v>242</v>
      </c>
      <c r="B2" s="471"/>
      <c r="C2" s="471"/>
      <c r="D2" s="471"/>
      <c r="E2" s="471"/>
      <c r="F2" s="471"/>
      <c r="G2" s="471"/>
      <c r="H2" s="3"/>
      <c r="I2" s="2"/>
    </row>
    <row r="3" spans="1:9" ht="15" customHeight="1">
      <c r="A3" s="471" t="s">
        <v>236</v>
      </c>
      <c r="B3" s="471"/>
      <c r="C3" s="471"/>
      <c r="D3" s="471"/>
      <c r="E3" s="471"/>
      <c r="F3" s="471"/>
      <c r="G3" s="471"/>
      <c r="H3" s="23"/>
      <c r="I3" s="3"/>
    </row>
    <row r="4" spans="1:9" ht="17.25" customHeight="1" thickBot="1">
      <c r="A4" s="475" t="s">
        <v>445</v>
      </c>
      <c r="B4" s="475"/>
      <c r="C4" s="475"/>
      <c r="D4" s="475"/>
      <c r="E4" s="475"/>
      <c r="F4" s="475"/>
      <c r="G4" s="475"/>
      <c r="H4" s="3"/>
      <c r="I4" s="2"/>
    </row>
    <row r="5" spans="1:10" ht="28.5" customHeight="1">
      <c r="A5" s="476" t="s">
        <v>46</v>
      </c>
      <c r="B5" s="478" t="s">
        <v>47</v>
      </c>
      <c r="C5" s="480" t="s">
        <v>45</v>
      </c>
      <c r="D5" s="473" t="s">
        <v>48</v>
      </c>
      <c r="E5" s="482"/>
      <c r="F5" s="473" t="s">
        <v>41</v>
      </c>
      <c r="G5" s="474"/>
      <c r="H5" s="10"/>
      <c r="I5" s="15"/>
      <c r="J5" s="10"/>
    </row>
    <row r="6" spans="1:10" ht="51.75" customHeight="1">
      <c r="A6" s="477"/>
      <c r="B6" s="479"/>
      <c r="C6" s="481"/>
      <c r="D6" s="95" t="s">
        <v>49</v>
      </c>
      <c r="E6" s="95" t="s">
        <v>50</v>
      </c>
      <c r="F6" s="95" t="s">
        <v>49</v>
      </c>
      <c r="G6" s="96" t="s">
        <v>50</v>
      </c>
      <c r="H6" s="12"/>
      <c r="I6" s="8"/>
      <c r="J6" s="10"/>
    </row>
    <row r="7" spans="1:13" s="5" customFormat="1" ht="14.25" customHeight="1" thickBot="1">
      <c r="A7" s="97" t="s">
        <v>51</v>
      </c>
      <c r="B7" s="98">
        <v>3</v>
      </c>
      <c r="C7" s="98">
        <v>4</v>
      </c>
      <c r="D7" s="98">
        <v>5</v>
      </c>
      <c r="E7" s="98">
        <v>6</v>
      </c>
      <c r="F7" s="98">
        <v>7</v>
      </c>
      <c r="G7" s="99">
        <v>8</v>
      </c>
      <c r="H7" s="9"/>
      <c r="I7" s="9"/>
      <c r="J7" s="14"/>
      <c r="K7" s="6"/>
      <c r="L7" s="6"/>
      <c r="M7" s="6"/>
    </row>
    <row r="8" spans="1:7" s="5" customFormat="1" ht="21" customHeight="1" thickTop="1">
      <c r="A8" s="144"/>
      <c r="B8" s="434" t="s">
        <v>897</v>
      </c>
      <c r="C8" s="145"/>
      <c r="D8" s="145"/>
      <c r="E8" s="145"/>
      <c r="F8" s="539"/>
      <c r="G8" s="540"/>
    </row>
    <row r="9" spans="1:7" s="5" customFormat="1" ht="21.75" customHeight="1">
      <c r="A9" s="146"/>
      <c r="B9" s="147" t="s">
        <v>187</v>
      </c>
      <c r="C9" s="148"/>
      <c r="D9" s="148"/>
      <c r="E9" s="148"/>
      <c r="F9" s="541"/>
      <c r="G9" s="542"/>
    </row>
    <row r="10" spans="1:8" s="5" customFormat="1" ht="51" customHeight="1">
      <c r="A10" s="100" t="s">
        <v>51</v>
      </c>
      <c r="B10" s="101" t="s">
        <v>488</v>
      </c>
      <c r="C10" s="101" t="s">
        <v>61</v>
      </c>
      <c r="D10" s="101"/>
      <c r="E10" s="149">
        <v>60</v>
      </c>
      <c r="F10" s="543"/>
      <c r="G10" s="544"/>
      <c r="H10" s="7">
        <f aca="true" t="shared" si="0" ref="H10:H40">G10</f>
        <v>0</v>
      </c>
    </row>
    <row r="11" spans="1:9" s="30" customFormat="1" ht="18.75" customHeight="1">
      <c r="A11" s="82"/>
      <c r="B11" s="91" t="s">
        <v>194</v>
      </c>
      <c r="C11" s="91" t="s">
        <v>44</v>
      </c>
      <c r="D11" s="91">
        <f>1.15*0.37</f>
        <v>0.4255</v>
      </c>
      <c r="E11" s="122">
        <f>E10*D11</f>
        <v>25.53</v>
      </c>
      <c r="F11" s="512"/>
      <c r="G11" s="545"/>
      <c r="H11" s="7">
        <f t="shared" si="0"/>
        <v>0</v>
      </c>
      <c r="I11" s="34">
        <f>G11</f>
        <v>0</v>
      </c>
    </row>
    <row r="12" spans="1:9" s="30" customFormat="1" ht="19.5" customHeight="1">
      <c r="A12" s="82"/>
      <c r="B12" s="91" t="s">
        <v>195</v>
      </c>
      <c r="C12" s="91" t="s">
        <v>54</v>
      </c>
      <c r="D12" s="112">
        <f>1.15*0.0136</f>
        <v>0.015639999999999998</v>
      </c>
      <c r="E12" s="122">
        <f>E10*D12</f>
        <v>0.9383999999999999</v>
      </c>
      <c r="F12" s="508"/>
      <c r="G12" s="545"/>
      <c r="H12" s="7">
        <f t="shared" si="0"/>
        <v>0</v>
      </c>
      <c r="I12" s="31"/>
    </row>
    <row r="13" spans="1:9" s="33" customFormat="1" ht="15" customHeight="1" thickBot="1">
      <c r="A13" s="84"/>
      <c r="B13" s="110" t="s">
        <v>56</v>
      </c>
      <c r="C13" s="110" t="s">
        <v>54</v>
      </c>
      <c r="D13" s="124">
        <v>0.0163</v>
      </c>
      <c r="E13" s="123">
        <f>E10*D13</f>
        <v>0.9779999999999999</v>
      </c>
      <c r="F13" s="546"/>
      <c r="G13" s="547"/>
      <c r="H13" s="7">
        <f t="shared" si="0"/>
        <v>0</v>
      </c>
      <c r="I13" s="35"/>
    </row>
    <row r="14" spans="1:9" s="32" customFormat="1" ht="50.25" customHeight="1">
      <c r="A14" s="184" t="s">
        <v>67</v>
      </c>
      <c r="B14" s="185" t="s">
        <v>489</v>
      </c>
      <c r="C14" s="186" t="s">
        <v>53</v>
      </c>
      <c r="D14" s="185"/>
      <c r="E14" s="187">
        <v>22</v>
      </c>
      <c r="F14" s="548"/>
      <c r="G14" s="549"/>
      <c r="H14" s="7">
        <f t="shared" si="0"/>
        <v>0</v>
      </c>
      <c r="I14" s="36"/>
    </row>
    <row r="15" spans="1:9" s="32" customFormat="1" ht="18" customHeight="1">
      <c r="A15" s="188"/>
      <c r="B15" s="190" t="s">
        <v>196</v>
      </c>
      <c r="C15" s="190" t="s">
        <v>44</v>
      </c>
      <c r="D15" s="190">
        <f>1.15*1.51</f>
        <v>1.7365</v>
      </c>
      <c r="E15" s="191">
        <f>E14*D15</f>
        <v>38.202999999999996</v>
      </c>
      <c r="F15" s="518"/>
      <c r="G15" s="545"/>
      <c r="H15" s="7">
        <f t="shared" si="0"/>
        <v>0</v>
      </c>
      <c r="I15" s="37">
        <f>G15</f>
        <v>0</v>
      </c>
    </row>
    <row r="16" spans="1:9" s="38" customFormat="1" ht="18.75" customHeight="1">
      <c r="A16" s="188"/>
      <c r="B16" s="190" t="s">
        <v>197</v>
      </c>
      <c r="C16" s="190" t="s">
        <v>54</v>
      </c>
      <c r="D16" s="192">
        <f>1.15*0.13</f>
        <v>0.1495</v>
      </c>
      <c r="E16" s="191">
        <f>E14*D16</f>
        <v>3.2889999999999997</v>
      </c>
      <c r="F16" s="519"/>
      <c r="G16" s="545"/>
      <c r="H16" s="7">
        <f t="shared" si="0"/>
        <v>0</v>
      </c>
      <c r="I16" s="39"/>
    </row>
    <row r="17" spans="1:9" s="38" customFormat="1" ht="19.5" customHeight="1" thickBot="1">
      <c r="A17" s="194"/>
      <c r="B17" s="195" t="s">
        <v>56</v>
      </c>
      <c r="C17" s="195" t="s">
        <v>54</v>
      </c>
      <c r="D17" s="196">
        <v>0.07</v>
      </c>
      <c r="E17" s="197">
        <f>E14*D17</f>
        <v>1.54</v>
      </c>
      <c r="F17" s="550"/>
      <c r="G17" s="547"/>
      <c r="H17" s="7">
        <f t="shared" si="0"/>
        <v>0</v>
      </c>
      <c r="I17" s="39"/>
    </row>
    <row r="18" spans="1:8" s="33" customFormat="1" ht="36" customHeight="1">
      <c r="A18" s="81" t="s">
        <v>112</v>
      </c>
      <c r="B18" s="107" t="s">
        <v>369</v>
      </c>
      <c r="C18" s="119" t="s">
        <v>53</v>
      </c>
      <c r="D18" s="107"/>
      <c r="E18" s="120">
        <v>7</v>
      </c>
      <c r="F18" s="548"/>
      <c r="G18" s="549"/>
      <c r="H18" s="7">
        <f t="shared" si="0"/>
        <v>0</v>
      </c>
    </row>
    <row r="19" spans="1:9" s="33" customFormat="1" ht="19.5" customHeight="1">
      <c r="A19" s="82"/>
      <c r="B19" s="91" t="s">
        <v>198</v>
      </c>
      <c r="C19" s="91" t="s">
        <v>44</v>
      </c>
      <c r="D19" s="91">
        <f>1.15*0.82</f>
        <v>0.9429999999999998</v>
      </c>
      <c r="E19" s="122">
        <f>E18*D19</f>
        <v>6.600999999999999</v>
      </c>
      <c r="F19" s="512"/>
      <c r="G19" s="545"/>
      <c r="H19" s="7">
        <f t="shared" si="0"/>
        <v>0</v>
      </c>
      <c r="I19" s="52">
        <f>G19</f>
        <v>0</v>
      </c>
    </row>
    <row r="20" spans="1:8" s="30" customFormat="1" ht="18" customHeight="1">
      <c r="A20" s="82"/>
      <c r="B20" s="91" t="s">
        <v>199</v>
      </c>
      <c r="C20" s="91" t="s">
        <v>54</v>
      </c>
      <c r="D20" s="86">
        <f>1.15*0.01</f>
        <v>0.0115</v>
      </c>
      <c r="E20" s="122">
        <f>E18*D20</f>
        <v>0.0805</v>
      </c>
      <c r="F20" s="508"/>
      <c r="G20" s="545"/>
      <c r="H20" s="7">
        <f t="shared" si="0"/>
        <v>0</v>
      </c>
    </row>
    <row r="21" spans="1:8" s="30" customFormat="1" ht="19.5" customHeight="1" thickBot="1">
      <c r="A21" s="84"/>
      <c r="B21" s="110" t="s">
        <v>56</v>
      </c>
      <c r="C21" s="110" t="s">
        <v>54</v>
      </c>
      <c r="D21" s="124">
        <v>0.07</v>
      </c>
      <c r="E21" s="123">
        <f>E18*D21</f>
        <v>0.49000000000000005</v>
      </c>
      <c r="F21" s="546"/>
      <c r="G21" s="547"/>
      <c r="H21" s="7">
        <f t="shared" si="0"/>
        <v>0</v>
      </c>
    </row>
    <row r="22" spans="1:8" s="33" customFormat="1" ht="44.25" customHeight="1">
      <c r="A22" s="81" t="s">
        <v>113</v>
      </c>
      <c r="B22" s="107" t="s">
        <v>132</v>
      </c>
      <c r="C22" s="107" t="s">
        <v>61</v>
      </c>
      <c r="D22" s="107"/>
      <c r="E22" s="120">
        <f>E10</f>
        <v>60</v>
      </c>
      <c r="F22" s="548"/>
      <c r="G22" s="549"/>
      <c r="H22" s="7">
        <f t="shared" si="0"/>
        <v>0</v>
      </c>
    </row>
    <row r="23" spans="1:9" s="33" customFormat="1" ht="21.75" customHeight="1">
      <c r="A23" s="82"/>
      <c r="B23" s="91" t="s">
        <v>200</v>
      </c>
      <c r="C23" s="91" t="s">
        <v>44</v>
      </c>
      <c r="D23" s="91">
        <f>1.15*0.0516</f>
        <v>0.05934</v>
      </c>
      <c r="E23" s="122">
        <f>E22*D23</f>
        <v>3.5604</v>
      </c>
      <c r="F23" s="512"/>
      <c r="G23" s="545"/>
      <c r="H23" s="7">
        <f t="shared" si="0"/>
        <v>0</v>
      </c>
      <c r="I23" s="53">
        <f>G23</f>
        <v>0</v>
      </c>
    </row>
    <row r="24" spans="1:8" s="30" customFormat="1" ht="20.25" customHeight="1">
      <c r="A24" s="82"/>
      <c r="B24" s="91" t="s">
        <v>73</v>
      </c>
      <c r="C24" s="91" t="s">
        <v>52</v>
      </c>
      <c r="D24" s="113">
        <v>0.01</v>
      </c>
      <c r="E24" s="122">
        <f>E22*D24</f>
        <v>0.6</v>
      </c>
      <c r="F24" s="508"/>
      <c r="G24" s="551"/>
      <c r="H24" s="7">
        <f t="shared" si="0"/>
        <v>0</v>
      </c>
    </row>
    <row r="25" spans="1:8" s="30" customFormat="1" ht="19.5" customHeight="1" thickBot="1">
      <c r="A25" s="84"/>
      <c r="B25" s="110" t="s">
        <v>56</v>
      </c>
      <c r="C25" s="110" t="s">
        <v>54</v>
      </c>
      <c r="D25" s="124">
        <v>0.0011</v>
      </c>
      <c r="E25" s="123">
        <f>E22*D25</f>
        <v>0.066</v>
      </c>
      <c r="F25" s="546"/>
      <c r="G25" s="547"/>
      <c r="H25" s="7">
        <f t="shared" si="0"/>
        <v>0</v>
      </c>
    </row>
    <row r="26" spans="1:11" s="33" customFormat="1" ht="22.5" customHeight="1">
      <c r="A26" s="150"/>
      <c r="B26" s="151" t="s">
        <v>188</v>
      </c>
      <c r="C26" s="152"/>
      <c r="D26" s="152"/>
      <c r="E26" s="152"/>
      <c r="F26" s="552"/>
      <c r="G26" s="553"/>
      <c r="H26" s="7">
        <f t="shared" si="0"/>
        <v>0</v>
      </c>
      <c r="I26" s="5"/>
      <c r="J26" s="5"/>
      <c r="K26" s="5"/>
    </row>
    <row r="27" spans="1:11" s="33" customFormat="1" ht="36.75" customHeight="1">
      <c r="A27" s="100" t="s">
        <v>71</v>
      </c>
      <c r="B27" s="101" t="s">
        <v>133</v>
      </c>
      <c r="C27" s="101" t="s">
        <v>61</v>
      </c>
      <c r="D27" s="101"/>
      <c r="E27" s="149">
        <v>20</v>
      </c>
      <c r="F27" s="543"/>
      <c r="G27" s="544"/>
      <c r="H27" s="7">
        <f t="shared" si="0"/>
        <v>0</v>
      </c>
      <c r="I27" s="5"/>
      <c r="J27" s="5"/>
      <c r="K27" s="5"/>
    </row>
    <row r="28" spans="1:9" s="30" customFormat="1" ht="21" customHeight="1">
      <c r="A28" s="82"/>
      <c r="B28" s="91" t="s">
        <v>201</v>
      </c>
      <c r="C28" s="91" t="s">
        <v>44</v>
      </c>
      <c r="D28" s="112">
        <f>1.15*0.609</f>
        <v>0.7003499999999999</v>
      </c>
      <c r="E28" s="122">
        <f>E27*D28</f>
        <v>14.006999999999998</v>
      </c>
      <c r="F28" s="512"/>
      <c r="G28" s="545"/>
      <c r="H28" s="7">
        <f t="shared" si="0"/>
        <v>0</v>
      </c>
      <c r="I28" s="34">
        <f>G28</f>
        <v>0</v>
      </c>
    </row>
    <row r="29" spans="1:9" s="30" customFormat="1" ht="22.5" customHeight="1">
      <c r="A29" s="82"/>
      <c r="B29" s="91" t="s">
        <v>131</v>
      </c>
      <c r="C29" s="91" t="s">
        <v>54</v>
      </c>
      <c r="D29" s="112">
        <f>1.15*0.0021</f>
        <v>0.0024149999999999996</v>
      </c>
      <c r="E29" s="122">
        <f>E27*D29</f>
        <v>0.048299999999999996</v>
      </c>
      <c r="F29" s="508"/>
      <c r="G29" s="545"/>
      <c r="H29" s="7">
        <f t="shared" si="0"/>
        <v>0</v>
      </c>
      <c r="I29" s="31"/>
    </row>
    <row r="30" spans="1:11" s="5" customFormat="1" ht="21.75" customHeight="1">
      <c r="A30" s="82"/>
      <c r="B30" s="102" t="s">
        <v>134</v>
      </c>
      <c r="C30" s="102" t="s">
        <v>94</v>
      </c>
      <c r="D30" s="153">
        <v>0.14</v>
      </c>
      <c r="E30" s="154">
        <f>E27*D30</f>
        <v>2.8000000000000003</v>
      </c>
      <c r="F30" s="554"/>
      <c r="G30" s="545"/>
      <c r="H30" s="7">
        <f t="shared" si="0"/>
        <v>0</v>
      </c>
      <c r="I30" s="54"/>
      <c r="J30" s="40"/>
      <c r="K30" s="40"/>
    </row>
    <row r="31" spans="1:11" s="5" customFormat="1" ht="17.25" customHeight="1" thickBot="1">
      <c r="A31" s="84"/>
      <c r="B31" s="110" t="s">
        <v>56</v>
      </c>
      <c r="C31" s="110" t="s">
        <v>54</v>
      </c>
      <c r="D31" s="124">
        <v>0.156</v>
      </c>
      <c r="E31" s="123">
        <f>E27*D31</f>
        <v>3.12</v>
      </c>
      <c r="F31" s="546"/>
      <c r="G31" s="547"/>
      <c r="H31" s="7">
        <f t="shared" si="0"/>
        <v>0</v>
      </c>
      <c r="I31" s="35"/>
      <c r="J31" s="33"/>
      <c r="K31" s="33"/>
    </row>
    <row r="32" spans="1:11" s="30" customFormat="1" ht="35.25" customHeight="1">
      <c r="A32" s="81" t="s">
        <v>75</v>
      </c>
      <c r="B32" s="101" t="s">
        <v>322</v>
      </c>
      <c r="C32" s="107" t="s">
        <v>79</v>
      </c>
      <c r="D32" s="107"/>
      <c r="E32" s="109">
        <v>32</v>
      </c>
      <c r="F32" s="548"/>
      <c r="G32" s="544"/>
      <c r="H32" s="7">
        <f t="shared" si="0"/>
        <v>0</v>
      </c>
      <c r="I32" s="5"/>
      <c r="J32" s="5"/>
      <c r="K32" s="5"/>
    </row>
    <row r="33" spans="1:9" s="30" customFormat="1" ht="22.5" customHeight="1">
      <c r="A33" s="82"/>
      <c r="B33" s="91" t="s">
        <v>202</v>
      </c>
      <c r="C33" s="91" t="s">
        <v>44</v>
      </c>
      <c r="D33" s="91">
        <f>1.15*0.583</f>
        <v>0.6704499999999999</v>
      </c>
      <c r="E33" s="122">
        <f>E32*D33</f>
        <v>21.454399999999996</v>
      </c>
      <c r="F33" s="512"/>
      <c r="G33" s="545"/>
      <c r="H33" s="7">
        <f t="shared" si="0"/>
        <v>0</v>
      </c>
      <c r="I33" s="34">
        <f>G33</f>
        <v>0</v>
      </c>
    </row>
    <row r="34" spans="1:11" s="40" customFormat="1" ht="17.25" customHeight="1">
      <c r="A34" s="82"/>
      <c r="B34" s="91" t="s">
        <v>203</v>
      </c>
      <c r="C34" s="91" t="s">
        <v>54</v>
      </c>
      <c r="D34" s="112">
        <f>1.15*0.0046</f>
        <v>0.0052899999999999996</v>
      </c>
      <c r="E34" s="122">
        <f>E32*D34</f>
        <v>0.16927999999999999</v>
      </c>
      <c r="F34" s="508"/>
      <c r="G34" s="545"/>
      <c r="H34" s="7">
        <f t="shared" si="0"/>
        <v>0</v>
      </c>
      <c r="I34" s="31"/>
      <c r="J34" s="30"/>
      <c r="K34" s="30"/>
    </row>
    <row r="35" spans="1:9" s="33" customFormat="1" ht="20.25" customHeight="1">
      <c r="A35" s="82"/>
      <c r="B35" s="91" t="s">
        <v>134</v>
      </c>
      <c r="C35" s="91" t="s">
        <v>94</v>
      </c>
      <c r="D35" s="113">
        <v>0.235</v>
      </c>
      <c r="E35" s="122">
        <f>E32*D35</f>
        <v>7.52</v>
      </c>
      <c r="F35" s="508"/>
      <c r="G35" s="545"/>
      <c r="H35" s="7">
        <f t="shared" si="0"/>
        <v>0</v>
      </c>
      <c r="I35" s="35"/>
    </row>
    <row r="36" spans="1:11" s="5" customFormat="1" ht="19.5" customHeight="1" thickBot="1">
      <c r="A36" s="84"/>
      <c r="B36" s="110" t="s">
        <v>56</v>
      </c>
      <c r="C36" s="110" t="s">
        <v>54</v>
      </c>
      <c r="D36" s="124">
        <v>0.208</v>
      </c>
      <c r="E36" s="123">
        <f>E32*D36</f>
        <v>6.656</v>
      </c>
      <c r="F36" s="546"/>
      <c r="G36" s="547"/>
      <c r="H36" s="7">
        <f t="shared" si="0"/>
        <v>0</v>
      </c>
      <c r="I36" s="35"/>
      <c r="J36" s="33"/>
      <c r="K36" s="33"/>
    </row>
    <row r="37" spans="1:11" s="30" customFormat="1" ht="34.5" customHeight="1">
      <c r="A37" s="81" t="s">
        <v>76</v>
      </c>
      <c r="B37" s="107" t="s">
        <v>135</v>
      </c>
      <c r="C37" s="119" t="s">
        <v>95</v>
      </c>
      <c r="D37" s="107"/>
      <c r="E37" s="120">
        <v>7</v>
      </c>
      <c r="F37" s="548"/>
      <c r="G37" s="549"/>
      <c r="H37" s="7">
        <f t="shared" si="0"/>
        <v>0</v>
      </c>
      <c r="I37" s="35"/>
      <c r="J37" s="33"/>
      <c r="K37" s="33"/>
    </row>
    <row r="38" spans="1:11" s="30" customFormat="1" ht="23.25" customHeight="1">
      <c r="A38" s="82"/>
      <c r="B38" s="91" t="s">
        <v>204</v>
      </c>
      <c r="C38" s="91" t="s">
        <v>44</v>
      </c>
      <c r="D38" s="91">
        <f>1.15*1.56</f>
        <v>1.7939999999999998</v>
      </c>
      <c r="E38" s="122">
        <f>E37*D38</f>
        <v>12.557999999999998</v>
      </c>
      <c r="F38" s="512"/>
      <c r="G38" s="545"/>
      <c r="H38" s="7">
        <f t="shared" si="0"/>
        <v>0</v>
      </c>
      <c r="I38" s="34">
        <f>G38</f>
        <v>0</v>
      </c>
      <c r="J38" s="33"/>
      <c r="K38" s="33"/>
    </row>
    <row r="39" spans="1:11" s="33" customFormat="1" ht="21" customHeight="1">
      <c r="A39" s="82"/>
      <c r="B39" s="91" t="s">
        <v>205</v>
      </c>
      <c r="C39" s="91" t="s">
        <v>54</v>
      </c>
      <c r="D39" s="86">
        <f>1.15*0.06</f>
        <v>0.06899999999999999</v>
      </c>
      <c r="E39" s="122">
        <f>E37*D39</f>
        <v>0.48299999999999993</v>
      </c>
      <c r="F39" s="508"/>
      <c r="G39" s="545"/>
      <c r="H39" s="7">
        <f t="shared" si="0"/>
        <v>0</v>
      </c>
      <c r="I39" s="31"/>
      <c r="J39" s="30"/>
      <c r="K39" s="30"/>
    </row>
    <row r="40" spans="1:11" s="33" customFormat="1" ht="17.25" customHeight="1" thickBot="1">
      <c r="A40" s="84"/>
      <c r="B40" s="110" t="s">
        <v>56</v>
      </c>
      <c r="C40" s="110" t="s">
        <v>54</v>
      </c>
      <c r="D40" s="124">
        <v>0.29</v>
      </c>
      <c r="E40" s="123">
        <f>E37*D40</f>
        <v>2.03</v>
      </c>
      <c r="F40" s="546"/>
      <c r="G40" s="547"/>
      <c r="H40" s="7">
        <f t="shared" si="0"/>
        <v>0</v>
      </c>
      <c r="I40" s="31"/>
      <c r="J40" s="30"/>
      <c r="K40" s="30"/>
    </row>
    <row r="41" spans="1:9" s="33" customFormat="1" ht="33.75" customHeight="1">
      <c r="A41" s="81" t="s">
        <v>126</v>
      </c>
      <c r="B41" s="107" t="s">
        <v>371</v>
      </c>
      <c r="C41" s="119" t="s">
        <v>95</v>
      </c>
      <c r="D41" s="107"/>
      <c r="E41" s="120">
        <v>3</v>
      </c>
      <c r="F41" s="548"/>
      <c r="G41" s="544"/>
      <c r="H41" s="7">
        <f>G45</f>
        <v>0</v>
      </c>
      <c r="I41" s="35"/>
    </row>
    <row r="42" spans="1:9" s="33" customFormat="1" ht="15.75" customHeight="1">
      <c r="A42" s="82"/>
      <c r="B42" s="91" t="s">
        <v>321</v>
      </c>
      <c r="C42" s="91" t="s">
        <v>44</v>
      </c>
      <c r="D42" s="91">
        <f>1.15*2.44</f>
        <v>2.8059999999999996</v>
      </c>
      <c r="E42" s="122">
        <f>E41*D42</f>
        <v>8.418</v>
      </c>
      <c r="F42" s="512"/>
      <c r="G42" s="545"/>
      <c r="H42" s="7">
        <f>G46</f>
        <v>0</v>
      </c>
      <c r="I42" s="34">
        <f>G46</f>
        <v>0</v>
      </c>
    </row>
    <row r="43" spans="1:11" s="33" customFormat="1" ht="19.5" customHeight="1">
      <c r="A43" s="82"/>
      <c r="B43" s="91" t="s">
        <v>197</v>
      </c>
      <c r="C43" s="91" t="s">
        <v>54</v>
      </c>
      <c r="D43" s="114">
        <f>1.15*0.13</f>
        <v>0.1495</v>
      </c>
      <c r="E43" s="122">
        <f>E41*D43</f>
        <v>0.4485</v>
      </c>
      <c r="F43" s="508"/>
      <c r="G43" s="545"/>
      <c r="H43" s="7">
        <f>G47</f>
        <v>0</v>
      </c>
      <c r="I43" s="31"/>
      <c r="J43" s="30"/>
      <c r="K43" s="30"/>
    </row>
    <row r="44" spans="1:11" s="33" customFormat="1" ht="18" customHeight="1" thickBot="1">
      <c r="A44" s="82"/>
      <c r="B44" s="110" t="s">
        <v>136</v>
      </c>
      <c r="C44" s="110" t="s">
        <v>54</v>
      </c>
      <c r="D44" s="124">
        <v>0.94</v>
      </c>
      <c r="E44" s="123">
        <f>E41*D44</f>
        <v>2.82</v>
      </c>
      <c r="F44" s="546"/>
      <c r="G44" s="547"/>
      <c r="H44" s="7">
        <f>G48</f>
        <v>0</v>
      </c>
      <c r="I44" s="31"/>
      <c r="J44" s="30"/>
      <c r="K44" s="30"/>
    </row>
    <row r="45" spans="1:11" s="33" customFormat="1" ht="35.25" customHeight="1">
      <c r="A45" s="81" t="s">
        <v>121</v>
      </c>
      <c r="B45" s="107" t="s">
        <v>490</v>
      </c>
      <c r="C45" s="119" t="s">
        <v>95</v>
      </c>
      <c r="D45" s="107"/>
      <c r="E45" s="120">
        <v>8</v>
      </c>
      <c r="F45" s="548"/>
      <c r="G45" s="544"/>
      <c r="H45" s="2"/>
      <c r="I45" s="2"/>
      <c r="J45" s="2"/>
      <c r="K45" s="2"/>
    </row>
    <row r="46" spans="1:12" s="33" customFormat="1" ht="20.25" customHeight="1">
      <c r="A46" s="82"/>
      <c r="B46" s="91" t="s">
        <v>321</v>
      </c>
      <c r="C46" s="91" t="s">
        <v>44</v>
      </c>
      <c r="D46" s="91">
        <f>1.15*2.44</f>
        <v>2.8059999999999996</v>
      </c>
      <c r="E46" s="122">
        <f>E45*D46</f>
        <v>22.447999999999997</v>
      </c>
      <c r="F46" s="512"/>
      <c r="G46" s="545"/>
      <c r="H46" s="39"/>
      <c r="I46" s="38"/>
      <c r="J46" s="38"/>
      <c r="K46" s="38"/>
      <c r="L46" s="30"/>
    </row>
    <row r="47" spans="1:11" s="30" customFormat="1" ht="22.5" customHeight="1">
      <c r="A47" s="82"/>
      <c r="B47" s="91" t="s">
        <v>197</v>
      </c>
      <c r="C47" s="91" t="s">
        <v>54</v>
      </c>
      <c r="D47" s="114">
        <f>1.15*0.13</f>
        <v>0.1495</v>
      </c>
      <c r="E47" s="122">
        <f>E45*D47</f>
        <v>1.196</v>
      </c>
      <c r="F47" s="508"/>
      <c r="G47" s="545"/>
      <c r="H47" s="2"/>
      <c r="I47" s="2"/>
      <c r="J47" s="2"/>
      <c r="K47" s="2"/>
    </row>
    <row r="48" spans="1:12" s="30" customFormat="1" ht="18.75" customHeight="1" thickBot="1">
      <c r="A48" s="82"/>
      <c r="B48" s="110" t="s">
        <v>136</v>
      </c>
      <c r="C48" s="110" t="s">
        <v>54</v>
      </c>
      <c r="D48" s="124">
        <v>0.94</v>
      </c>
      <c r="E48" s="123">
        <f>E45*D48</f>
        <v>7.52</v>
      </c>
      <c r="F48" s="546"/>
      <c r="G48" s="547"/>
      <c r="H48" s="36"/>
      <c r="I48" s="32"/>
      <c r="J48" s="32"/>
      <c r="K48" s="32"/>
      <c r="L48" s="33"/>
    </row>
    <row r="49" spans="1:12" s="5" customFormat="1" ht="24" customHeight="1" thickBot="1">
      <c r="A49" s="157"/>
      <c r="B49" s="435" t="s">
        <v>898</v>
      </c>
      <c r="C49" s="158"/>
      <c r="D49" s="159"/>
      <c r="E49" s="160"/>
      <c r="F49" s="555"/>
      <c r="G49" s="556"/>
      <c r="H49" s="36"/>
      <c r="I49" s="32"/>
      <c r="J49" s="32"/>
      <c r="K49" s="32"/>
      <c r="L49" s="33"/>
    </row>
    <row r="50" spans="1:12" s="30" customFormat="1" ht="18" customHeight="1">
      <c r="A50" s="85"/>
      <c r="B50" s="436" t="s">
        <v>899</v>
      </c>
      <c r="C50" s="89"/>
      <c r="D50" s="155"/>
      <c r="E50" s="156"/>
      <c r="F50" s="557"/>
      <c r="G50" s="558"/>
      <c r="H50" s="36"/>
      <c r="I50" s="32"/>
      <c r="J50" s="32"/>
      <c r="K50" s="32"/>
      <c r="L50" s="38"/>
    </row>
    <row r="51" spans="1:12" s="30" customFormat="1" ht="18.75" customHeight="1">
      <c r="A51" s="161"/>
      <c r="B51" s="162" t="s">
        <v>187</v>
      </c>
      <c r="C51" s="80"/>
      <c r="D51" s="163"/>
      <c r="E51" s="164"/>
      <c r="F51" s="559"/>
      <c r="G51" s="560"/>
      <c r="H51" s="39"/>
      <c r="I51" s="38"/>
      <c r="J51" s="38"/>
      <c r="K51" s="38"/>
      <c r="L51" s="33"/>
    </row>
    <row r="52" spans="1:11" s="33" customFormat="1" ht="19.5" customHeight="1">
      <c r="A52" s="79" t="s">
        <v>51</v>
      </c>
      <c r="B52" s="437" t="s">
        <v>903</v>
      </c>
      <c r="C52" s="90" t="s">
        <v>79</v>
      </c>
      <c r="D52" s="163"/>
      <c r="E52" s="165">
        <v>44</v>
      </c>
      <c r="F52" s="561"/>
      <c r="G52" s="562"/>
      <c r="H52" s="39"/>
      <c r="I52" s="38"/>
      <c r="J52" s="38"/>
      <c r="K52" s="38"/>
    </row>
    <row r="53" spans="1:12" s="5" customFormat="1" ht="16.5" customHeight="1">
      <c r="A53" s="79" t="s">
        <v>67</v>
      </c>
      <c r="B53" s="432" t="s">
        <v>904</v>
      </c>
      <c r="C53" s="91" t="s">
        <v>79</v>
      </c>
      <c r="D53" s="163"/>
      <c r="E53" s="165">
        <v>4</v>
      </c>
      <c r="F53" s="561"/>
      <c r="G53" s="562"/>
      <c r="H53" s="38"/>
      <c r="I53" s="39"/>
      <c r="J53" s="38"/>
      <c r="K53" s="38"/>
      <c r="L53" s="38"/>
    </row>
    <row r="54" spans="1:12" s="5" customFormat="1" ht="16.5" customHeight="1">
      <c r="A54" s="79" t="s">
        <v>112</v>
      </c>
      <c r="B54" s="432" t="s">
        <v>905</v>
      </c>
      <c r="C54" s="91" t="s">
        <v>79</v>
      </c>
      <c r="D54" s="163"/>
      <c r="E54" s="165">
        <v>12</v>
      </c>
      <c r="F54" s="561"/>
      <c r="G54" s="562"/>
      <c r="H54" s="38"/>
      <c r="I54" s="39"/>
      <c r="J54" s="38"/>
      <c r="K54" s="38"/>
      <c r="L54" s="38"/>
    </row>
    <row r="55" spans="1:12" s="30" customFormat="1" ht="17.25" customHeight="1">
      <c r="A55" s="79" t="s">
        <v>113</v>
      </c>
      <c r="B55" s="432" t="s">
        <v>337</v>
      </c>
      <c r="C55" s="91" t="s">
        <v>53</v>
      </c>
      <c r="D55" s="163"/>
      <c r="E55" s="166">
        <v>90</v>
      </c>
      <c r="F55" s="563"/>
      <c r="G55" s="562"/>
      <c r="H55" s="36"/>
      <c r="I55" s="32"/>
      <c r="J55" s="32"/>
      <c r="K55" s="32"/>
      <c r="L55" s="2"/>
    </row>
    <row r="56" spans="1:12" s="33" customFormat="1" ht="20.25" customHeight="1">
      <c r="A56" s="79" t="s">
        <v>71</v>
      </c>
      <c r="B56" s="432" t="s">
        <v>900</v>
      </c>
      <c r="C56" s="91" t="s">
        <v>53</v>
      </c>
      <c r="D56" s="113"/>
      <c r="E56" s="166">
        <v>3</v>
      </c>
      <c r="F56" s="563"/>
      <c r="G56" s="562"/>
      <c r="H56" s="36"/>
      <c r="I56" s="32"/>
      <c r="J56" s="32"/>
      <c r="K56" s="32"/>
      <c r="L56" s="2"/>
    </row>
    <row r="57" spans="1:12" s="33" customFormat="1" ht="22.5" customHeight="1">
      <c r="A57" s="79" t="s">
        <v>75</v>
      </c>
      <c r="B57" s="432" t="s">
        <v>901</v>
      </c>
      <c r="C57" s="91" t="s">
        <v>53</v>
      </c>
      <c r="D57" s="113"/>
      <c r="E57" s="166">
        <v>1</v>
      </c>
      <c r="F57" s="563"/>
      <c r="G57" s="562"/>
      <c r="H57" s="36"/>
      <c r="I57" s="32"/>
      <c r="J57" s="32"/>
      <c r="K57" s="32"/>
      <c r="L57" s="2"/>
    </row>
    <row r="58" spans="1:12" s="33" customFormat="1" ht="21.75" customHeight="1">
      <c r="A58" s="79" t="s">
        <v>76</v>
      </c>
      <c r="B58" s="432" t="s">
        <v>902</v>
      </c>
      <c r="C58" s="91" t="s">
        <v>53</v>
      </c>
      <c r="D58" s="113"/>
      <c r="E58" s="166">
        <v>18</v>
      </c>
      <c r="F58" s="563"/>
      <c r="G58" s="562"/>
      <c r="H58" s="39"/>
      <c r="I58" s="38"/>
      <c r="J58" s="38"/>
      <c r="K58" s="38"/>
      <c r="L58" s="2"/>
    </row>
    <row r="59" spans="1:12" s="38" customFormat="1" ht="20.25" customHeight="1">
      <c r="A59" s="79" t="s">
        <v>126</v>
      </c>
      <c r="B59" s="91" t="s">
        <v>339</v>
      </c>
      <c r="C59" s="91" t="s">
        <v>53</v>
      </c>
      <c r="D59" s="113"/>
      <c r="E59" s="166">
        <v>7</v>
      </c>
      <c r="F59" s="563"/>
      <c r="G59" s="562"/>
      <c r="H59" s="44"/>
      <c r="I59" s="44"/>
      <c r="J59" s="44"/>
      <c r="K59" s="44"/>
      <c r="L59" s="2"/>
    </row>
    <row r="60" spans="1:12" s="38" customFormat="1" ht="22.5" customHeight="1">
      <c r="A60" s="82"/>
      <c r="B60" s="167" t="s">
        <v>190</v>
      </c>
      <c r="C60" s="91"/>
      <c r="D60" s="113"/>
      <c r="E60" s="122"/>
      <c r="F60" s="508"/>
      <c r="G60" s="545"/>
      <c r="H60" s="11"/>
      <c r="I60" s="7"/>
      <c r="J60" s="8"/>
      <c r="K60" s="3"/>
      <c r="L60" s="2"/>
    </row>
    <row r="61" spans="1:12" s="33" customFormat="1" ht="16.5" customHeight="1">
      <c r="A61" s="79" t="s">
        <v>51</v>
      </c>
      <c r="B61" s="90" t="s">
        <v>137</v>
      </c>
      <c r="C61" s="90" t="s">
        <v>79</v>
      </c>
      <c r="D61" s="90"/>
      <c r="E61" s="168">
        <v>20</v>
      </c>
      <c r="F61" s="564"/>
      <c r="G61" s="562"/>
      <c r="H61" s="11"/>
      <c r="I61" s="7">
        <f>SUM(I10:I60)</f>
        <v>0</v>
      </c>
      <c r="J61" s="8"/>
      <c r="K61" s="3"/>
      <c r="L61" s="4"/>
    </row>
    <row r="62" spans="1:12" s="33" customFormat="1" ht="21.75" customHeight="1">
      <c r="A62" s="79" t="s">
        <v>67</v>
      </c>
      <c r="B62" s="91" t="s">
        <v>138</v>
      </c>
      <c r="C62" s="91" t="s">
        <v>79</v>
      </c>
      <c r="D62" s="113"/>
      <c r="E62" s="166">
        <v>32</v>
      </c>
      <c r="F62" s="563"/>
      <c r="G62" s="562"/>
      <c r="H62" s="11"/>
      <c r="I62" s="25"/>
      <c r="J62" s="3"/>
      <c r="K62" s="3"/>
      <c r="L62" s="38"/>
    </row>
    <row r="63" spans="1:12" s="33" customFormat="1" ht="21.75" customHeight="1">
      <c r="A63" s="79" t="s">
        <v>112</v>
      </c>
      <c r="B63" s="91" t="s">
        <v>191</v>
      </c>
      <c r="C63" s="113" t="s">
        <v>53</v>
      </c>
      <c r="D63" s="113"/>
      <c r="E63" s="166">
        <v>40</v>
      </c>
      <c r="F63" s="563"/>
      <c r="G63" s="562"/>
      <c r="H63" s="3"/>
      <c r="I63" s="3"/>
      <c r="J63" s="3"/>
      <c r="K63" s="3"/>
      <c r="L63" s="38"/>
    </row>
    <row r="64" spans="1:11" s="38" customFormat="1" ht="25.5" customHeight="1">
      <c r="A64" s="79" t="s">
        <v>113</v>
      </c>
      <c r="B64" s="91" t="s">
        <v>192</v>
      </c>
      <c r="C64" s="113" t="s">
        <v>53</v>
      </c>
      <c r="D64" s="113"/>
      <c r="E64" s="166">
        <v>40</v>
      </c>
      <c r="F64" s="563"/>
      <c r="G64" s="562"/>
      <c r="H64" s="3"/>
      <c r="I64" s="3"/>
      <c r="J64" s="3"/>
      <c r="K64" s="3"/>
    </row>
    <row r="65" spans="1:12" s="33" customFormat="1" ht="18.75" customHeight="1">
      <c r="A65" s="79" t="s">
        <v>71</v>
      </c>
      <c r="B65" s="91" t="s">
        <v>193</v>
      </c>
      <c r="C65" s="113" t="s">
        <v>95</v>
      </c>
      <c r="D65" s="113"/>
      <c r="E65" s="166">
        <v>7</v>
      </c>
      <c r="F65" s="563"/>
      <c r="G65" s="562"/>
      <c r="H65" s="7"/>
      <c r="I65" s="3"/>
      <c r="J65" s="3"/>
      <c r="K65" s="3"/>
      <c r="L65" s="38"/>
    </row>
    <row r="66" spans="1:12" s="2" customFormat="1" ht="18.75" customHeight="1">
      <c r="A66" s="79" t="s">
        <v>75</v>
      </c>
      <c r="B66" s="91" t="s">
        <v>370</v>
      </c>
      <c r="C66" s="113" t="s">
        <v>95</v>
      </c>
      <c r="D66" s="113"/>
      <c r="E66" s="166">
        <v>3</v>
      </c>
      <c r="F66" s="563"/>
      <c r="G66" s="562"/>
      <c r="H66" s="3"/>
      <c r="J66" s="3"/>
      <c r="K66" s="3"/>
      <c r="L66" s="38"/>
    </row>
    <row r="67" spans="1:12" s="2" customFormat="1" ht="18.75" customHeight="1" thickBot="1">
      <c r="A67" s="79" t="s">
        <v>76</v>
      </c>
      <c r="B67" s="91" t="s">
        <v>491</v>
      </c>
      <c r="C67" s="113" t="s">
        <v>95</v>
      </c>
      <c r="D67" s="113"/>
      <c r="E67" s="166">
        <v>8</v>
      </c>
      <c r="F67" s="563"/>
      <c r="G67" s="562"/>
      <c r="H67" s="3"/>
      <c r="J67" s="3"/>
      <c r="K67" s="3"/>
      <c r="L67" s="38"/>
    </row>
    <row r="68" spans="1:12" s="2" customFormat="1" ht="29.25" customHeight="1" thickBot="1">
      <c r="A68" s="157"/>
      <c r="B68" s="435" t="s">
        <v>906</v>
      </c>
      <c r="C68" s="158"/>
      <c r="D68" s="169"/>
      <c r="E68" s="169"/>
      <c r="F68" s="565"/>
      <c r="G68" s="556"/>
      <c r="H68" s="11"/>
      <c r="I68" s="7"/>
      <c r="J68" s="3"/>
      <c r="K68" s="3"/>
      <c r="L68" s="32"/>
    </row>
    <row r="69" spans="1:12" s="2" customFormat="1" ht="36" customHeight="1">
      <c r="A69" s="127"/>
      <c r="B69" s="107" t="s">
        <v>206</v>
      </c>
      <c r="C69" s="89" t="s">
        <v>54</v>
      </c>
      <c r="D69" s="89"/>
      <c r="E69" s="128"/>
      <c r="F69" s="566"/>
      <c r="G69" s="567"/>
      <c r="H69" s="11"/>
      <c r="I69" s="7"/>
      <c r="J69" s="3"/>
      <c r="K69" s="3"/>
      <c r="L69" s="32"/>
    </row>
    <row r="70" spans="1:12" s="32" customFormat="1" ht="25.5" customHeight="1">
      <c r="A70" s="129"/>
      <c r="B70" s="91" t="s">
        <v>43</v>
      </c>
      <c r="C70" s="91" t="s">
        <v>54</v>
      </c>
      <c r="D70" s="91"/>
      <c r="E70" s="130">
        <v>0.12</v>
      </c>
      <c r="F70" s="516"/>
      <c r="G70" s="568"/>
      <c r="H70" s="11"/>
      <c r="I70" s="7"/>
      <c r="J70" s="3"/>
      <c r="K70" s="3"/>
      <c r="L70" s="3"/>
    </row>
    <row r="71" spans="1:12" s="32" customFormat="1" ht="23.25" customHeight="1">
      <c r="A71" s="131"/>
      <c r="B71" s="133" t="s">
        <v>55</v>
      </c>
      <c r="C71" s="133" t="s">
        <v>54</v>
      </c>
      <c r="D71" s="133"/>
      <c r="E71" s="133"/>
      <c r="F71" s="510"/>
      <c r="G71" s="569"/>
      <c r="H71" s="11"/>
      <c r="I71" s="7"/>
      <c r="J71" s="3"/>
      <c r="K71" s="3"/>
      <c r="L71" s="3"/>
    </row>
    <row r="72" spans="1:12" s="32" customFormat="1" ht="24" customHeight="1">
      <c r="A72" s="129"/>
      <c r="B72" s="91" t="s">
        <v>69</v>
      </c>
      <c r="C72" s="91" t="s">
        <v>54</v>
      </c>
      <c r="D72" s="91"/>
      <c r="E72" s="130">
        <v>0.08</v>
      </c>
      <c r="F72" s="516"/>
      <c r="G72" s="568"/>
      <c r="H72" s="11"/>
      <c r="I72" s="7"/>
      <c r="J72" s="3"/>
      <c r="K72" s="3"/>
      <c r="L72" s="3"/>
    </row>
    <row r="73" spans="1:12" s="38" customFormat="1" ht="26.25" customHeight="1" thickBot="1">
      <c r="A73" s="134"/>
      <c r="B73" s="93" t="s">
        <v>60</v>
      </c>
      <c r="C73" s="93" t="s">
        <v>54</v>
      </c>
      <c r="D73" s="93"/>
      <c r="E73" s="135"/>
      <c r="F73" s="570"/>
      <c r="G73" s="571"/>
      <c r="H73" s="11"/>
      <c r="I73" s="7"/>
      <c r="J73" s="3"/>
      <c r="K73" s="3"/>
      <c r="L73" s="23"/>
    </row>
    <row r="74" spans="1:12" s="38" customFormat="1" ht="25.5" customHeight="1">
      <c r="A74" s="136"/>
      <c r="B74" s="88"/>
      <c r="C74" s="77"/>
      <c r="D74" s="138"/>
      <c r="E74" s="138"/>
      <c r="F74" s="138"/>
      <c r="G74" s="94"/>
      <c r="H74" s="11"/>
      <c r="I74" s="7"/>
      <c r="J74" s="3"/>
      <c r="K74" s="3"/>
      <c r="L74" s="3"/>
    </row>
    <row r="75" spans="1:12" s="38" customFormat="1" ht="25.5" customHeight="1">
      <c r="A75" s="136"/>
      <c r="B75" s="456" t="s">
        <v>886</v>
      </c>
      <c r="C75" s="456"/>
      <c r="D75" s="456"/>
      <c r="E75" s="456"/>
      <c r="F75" s="456"/>
      <c r="G75" s="456"/>
      <c r="H75" s="11"/>
      <c r="I75" s="7"/>
      <c r="J75" s="3"/>
      <c r="K75" s="3"/>
      <c r="L75" s="23"/>
    </row>
    <row r="76" spans="1:12" s="38" customFormat="1" ht="26.25" customHeight="1">
      <c r="A76" s="136"/>
      <c r="B76" s="88"/>
      <c r="C76" s="77"/>
      <c r="D76" s="138"/>
      <c r="E76" s="138"/>
      <c r="F76" s="138"/>
      <c r="G76" s="94"/>
      <c r="H76" s="11"/>
      <c r="I76" s="7"/>
      <c r="J76" s="3"/>
      <c r="K76" s="3"/>
      <c r="L76" s="3"/>
    </row>
    <row r="77" spans="1:12" s="38" customFormat="1" ht="27" customHeight="1">
      <c r="A77" s="139"/>
      <c r="B77" s="140"/>
      <c r="C77" s="467"/>
      <c r="D77" s="467"/>
      <c r="E77" s="467"/>
      <c r="F77" s="141"/>
      <c r="G77" s="142"/>
      <c r="H77" s="11"/>
      <c r="I77" s="7"/>
      <c r="J77" s="3"/>
      <c r="K77" s="3"/>
      <c r="L77" s="3"/>
    </row>
    <row r="78" spans="1:12" s="38" customFormat="1" ht="21" customHeight="1">
      <c r="A78" s="13"/>
      <c r="B78" s="2"/>
      <c r="C78" s="2"/>
      <c r="D78" s="2"/>
      <c r="E78" s="16"/>
      <c r="F78" s="2"/>
      <c r="G78" s="7"/>
      <c r="H78" s="11"/>
      <c r="I78" s="7"/>
      <c r="J78" s="3"/>
      <c r="K78" s="3"/>
      <c r="L78" s="3"/>
    </row>
    <row r="79" spans="1:12" s="38" customFormat="1" ht="21" customHeight="1">
      <c r="A79" s="13"/>
      <c r="B79" s="1"/>
      <c r="C79" s="1"/>
      <c r="D79" s="1"/>
      <c r="E79" s="17"/>
      <c r="F79" s="1"/>
      <c r="G79" s="11"/>
      <c r="H79" s="11"/>
      <c r="I79" s="7"/>
      <c r="J79" s="3"/>
      <c r="K79" s="3"/>
      <c r="L79" s="3"/>
    </row>
    <row r="80" spans="1:12" s="32" customFormat="1" ht="13.5" customHeight="1">
      <c r="A80" s="13"/>
      <c r="B80" s="1"/>
      <c r="C80" s="1"/>
      <c r="D80" s="1"/>
      <c r="E80" s="17"/>
      <c r="F80" s="1"/>
      <c r="G80" s="11"/>
      <c r="H80" s="11"/>
      <c r="I80" s="7"/>
      <c r="J80" s="3"/>
      <c r="K80" s="3"/>
      <c r="L80" s="3"/>
    </row>
    <row r="81" spans="1:12" s="32" customFormat="1" ht="13.5" customHeight="1">
      <c r="A81" s="13"/>
      <c r="B81" s="1"/>
      <c r="C81" s="1"/>
      <c r="D81" s="1"/>
      <c r="E81" s="17"/>
      <c r="F81" s="1"/>
      <c r="G81" s="11"/>
      <c r="H81" s="11"/>
      <c r="I81" s="7"/>
      <c r="J81" s="3"/>
      <c r="K81" s="3"/>
      <c r="L81" s="3"/>
    </row>
    <row r="82" spans="1:12" s="32" customFormat="1" ht="13.5" customHeight="1">
      <c r="A82" s="13"/>
      <c r="B82" s="1"/>
      <c r="C82" s="1"/>
      <c r="D82" s="1"/>
      <c r="E82" s="17"/>
      <c r="F82" s="1"/>
      <c r="G82" s="11"/>
      <c r="H82" s="11"/>
      <c r="I82" s="7"/>
      <c r="J82" s="3"/>
      <c r="K82" s="3"/>
      <c r="L82" s="3"/>
    </row>
    <row r="83" spans="1:12" s="38" customFormat="1" ht="13.5" customHeight="1">
      <c r="A83" s="13"/>
      <c r="B83" s="1"/>
      <c r="C83" s="1"/>
      <c r="D83" s="1"/>
      <c r="E83" s="17"/>
      <c r="F83" s="1"/>
      <c r="G83" s="11"/>
      <c r="H83" s="11"/>
      <c r="I83" s="7"/>
      <c r="J83" s="3"/>
      <c r="K83" s="3"/>
      <c r="L83" s="3"/>
    </row>
    <row r="84" spans="1:12" s="38" customFormat="1" ht="15.75">
      <c r="A84" s="13"/>
      <c r="B84" s="1"/>
      <c r="C84" s="1"/>
      <c r="D84" s="1"/>
      <c r="E84" s="17"/>
      <c r="F84" s="1"/>
      <c r="G84" s="11"/>
      <c r="H84" s="11"/>
      <c r="I84" s="7"/>
      <c r="J84" s="3"/>
      <c r="K84" s="3"/>
      <c r="L84" s="3"/>
    </row>
    <row r="85" spans="1:12" s="44" customFormat="1" ht="24.75" customHeight="1">
      <c r="A85" s="13"/>
      <c r="B85" s="1"/>
      <c r="C85" s="1"/>
      <c r="D85" s="1"/>
      <c r="E85" s="17"/>
      <c r="F85" s="1"/>
      <c r="G85" s="11"/>
      <c r="H85" s="11"/>
      <c r="I85" s="7"/>
      <c r="J85" s="3"/>
      <c r="K85" s="3"/>
      <c r="L85" s="3"/>
    </row>
    <row r="86" ht="28.5" customHeight="1"/>
    <row r="87" ht="19.5" customHeight="1"/>
    <row r="88" ht="19.5" customHeight="1"/>
    <row r="89" spans="1:13" s="24" customFormat="1" ht="19.5" customHeight="1">
      <c r="A89" s="13"/>
      <c r="B89" s="1"/>
      <c r="C89" s="1"/>
      <c r="D89" s="1"/>
      <c r="E89" s="17"/>
      <c r="F89" s="1"/>
      <c r="G89" s="11"/>
      <c r="H89" s="11"/>
      <c r="I89" s="7"/>
      <c r="J89" s="3"/>
      <c r="K89" s="3"/>
      <c r="L89" s="3"/>
      <c r="M89" s="23"/>
    </row>
    <row r="90" ht="19.5" customHeight="1"/>
    <row r="91" spans="1:13" s="24" customFormat="1" ht="19.5" customHeight="1">
      <c r="A91" s="13"/>
      <c r="B91" s="1"/>
      <c r="C91" s="1"/>
      <c r="D91" s="1"/>
      <c r="E91" s="17"/>
      <c r="F91" s="1"/>
      <c r="G91" s="11"/>
      <c r="H91" s="11"/>
      <c r="I91" s="7"/>
      <c r="J91" s="3"/>
      <c r="K91" s="3"/>
      <c r="L91" s="3"/>
      <c r="M91" s="23"/>
    </row>
    <row r="92" ht="13.5" customHeight="1"/>
    <row r="93" ht="13.5" customHeight="1"/>
    <row r="94" ht="13.5" customHeight="1"/>
    <row r="95" ht="13.5" customHeight="1"/>
  </sheetData>
  <sheetProtection password="CF2D" sheet="1"/>
  <mergeCells count="11">
    <mergeCell ref="B75:G75"/>
    <mergeCell ref="F5:G5"/>
    <mergeCell ref="A1:G1"/>
    <mergeCell ref="A2:G2"/>
    <mergeCell ref="A4:G4"/>
    <mergeCell ref="A3:G3"/>
    <mergeCell ref="C77:E77"/>
    <mergeCell ref="A5:A6"/>
    <mergeCell ref="B5:B6"/>
    <mergeCell ref="C5:C6"/>
    <mergeCell ref="D5:E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  <ignoredErrors>
    <ignoredError sqref="A10 A14 A18 A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33"/>
  <sheetViews>
    <sheetView zoomScalePageLayoutView="0" workbookViewId="0" topLeftCell="A1">
      <selection activeCell="F9" sqref="F9:G30"/>
    </sheetView>
  </sheetViews>
  <sheetFormatPr defaultColWidth="9.140625" defaultRowHeight="12.75"/>
  <cols>
    <col min="1" max="1" width="4.421875" style="0" customWidth="1"/>
    <col min="2" max="2" width="33.57421875" style="0" customWidth="1"/>
    <col min="6" max="6" width="10.8515625" style="0" customWidth="1"/>
    <col min="7" max="7" width="14.00390625" style="0" customWidth="1"/>
  </cols>
  <sheetData>
    <row r="1" spans="1:7" ht="53.25" customHeight="1">
      <c r="A1" s="469" t="s">
        <v>824</v>
      </c>
      <c r="B1" s="470"/>
      <c r="C1" s="470"/>
      <c r="D1" s="470"/>
      <c r="E1" s="470"/>
      <c r="F1" s="470"/>
      <c r="G1" s="470"/>
    </row>
    <row r="2" spans="1:7" ht="15">
      <c r="A2" s="471" t="s">
        <v>494</v>
      </c>
      <c r="B2" s="471"/>
      <c r="C2" s="471"/>
      <c r="D2" s="471"/>
      <c r="E2" s="471"/>
      <c r="F2" s="471"/>
      <c r="G2" s="471"/>
    </row>
    <row r="3" spans="1:7" ht="15">
      <c r="A3" s="471" t="s">
        <v>236</v>
      </c>
      <c r="B3" s="471"/>
      <c r="C3" s="471"/>
      <c r="D3" s="471"/>
      <c r="E3" s="471"/>
      <c r="F3" s="471"/>
      <c r="G3" s="471"/>
    </row>
    <row r="4" spans="1:7" ht="28.5" customHeight="1">
      <c r="A4" s="475" t="s">
        <v>498</v>
      </c>
      <c r="B4" s="475"/>
      <c r="C4" s="475"/>
      <c r="D4" s="475"/>
      <c r="E4" s="475"/>
      <c r="F4" s="475"/>
      <c r="G4" s="475"/>
    </row>
    <row r="5" spans="1:7" ht="23.25" customHeight="1">
      <c r="A5" s="461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</row>
    <row r="6" spans="1:7" ht="50.25" customHeight="1">
      <c r="A6" s="461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</row>
    <row r="7" spans="1:7" ht="18.75" customHeight="1">
      <c r="A7" s="198" t="s">
        <v>51</v>
      </c>
      <c r="B7" s="248">
        <v>3</v>
      </c>
      <c r="C7" s="248">
        <v>4</v>
      </c>
      <c r="D7" s="248">
        <v>5</v>
      </c>
      <c r="E7" s="248">
        <v>6</v>
      </c>
      <c r="F7" s="248">
        <v>7</v>
      </c>
      <c r="G7" s="234">
        <v>8</v>
      </c>
    </row>
    <row r="8" spans="1:7" ht="21" customHeight="1">
      <c r="A8" s="408"/>
      <c r="B8" s="248" t="s">
        <v>186</v>
      </c>
      <c r="C8" s="248"/>
      <c r="D8" s="248"/>
      <c r="E8" s="248"/>
      <c r="F8" s="248"/>
      <c r="G8" s="234"/>
    </row>
    <row r="9" spans="1:7" ht="61.5" customHeight="1">
      <c r="A9" s="198" t="s">
        <v>51</v>
      </c>
      <c r="B9" s="133" t="s">
        <v>322</v>
      </c>
      <c r="C9" s="133" t="s">
        <v>61</v>
      </c>
      <c r="D9" s="133"/>
      <c r="E9" s="242">
        <v>9</v>
      </c>
      <c r="F9" s="510"/>
      <c r="G9" s="511"/>
    </row>
    <row r="10" spans="1:7" ht="30" customHeight="1">
      <c r="A10" s="181"/>
      <c r="B10" s="91" t="s">
        <v>202</v>
      </c>
      <c r="C10" s="91" t="s">
        <v>44</v>
      </c>
      <c r="D10" s="91">
        <f>1.15*0.583</f>
        <v>0.6704499999999999</v>
      </c>
      <c r="E10" s="122">
        <f>E9*D10</f>
        <v>6.034049999999999</v>
      </c>
      <c r="F10" s="518"/>
      <c r="G10" s="509"/>
    </row>
    <row r="11" spans="1:7" ht="24.75" customHeight="1">
      <c r="A11" s="181"/>
      <c r="B11" s="91" t="s">
        <v>203</v>
      </c>
      <c r="C11" s="91" t="s">
        <v>54</v>
      </c>
      <c r="D11" s="112">
        <f>1.15*0.0046</f>
        <v>0.0052899999999999996</v>
      </c>
      <c r="E11" s="122">
        <f>E9*D11</f>
        <v>0.04761</v>
      </c>
      <c r="F11" s="519"/>
      <c r="G11" s="509"/>
    </row>
    <row r="12" spans="1:7" ht="18.75" customHeight="1">
      <c r="A12" s="181"/>
      <c r="B12" s="91" t="s">
        <v>134</v>
      </c>
      <c r="C12" s="91" t="s">
        <v>94</v>
      </c>
      <c r="D12" s="113">
        <v>0.235</v>
      </c>
      <c r="E12" s="122">
        <f>E9*D12</f>
        <v>2.1149999999999998</v>
      </c>
      <c r="F12" s="519"/>
      <c r="G12" s="509"/>
    </row>
    <row r="13" spans="1:7" ht="27.75" customHeight="1">
      <c r="A13" s="181"/>
      <c r="B13" s="91" t="s">
        <v>56</v>
      </c>
      <c r="C13" s="91" t="s">
        <v>54</v>
      </c>
      <c r="D13" s="113">
        <v>0.208</v>
      </c>
      <c r="E13" s="122">
        <f>E9*D13</f>
        <v>1.8719999999999999</v>
      </c>
      <c r="F13" s="519"/>
      <c r="G13" s="509"/>
    </row>
    <row r="14" spans="1:7" ht="40.5">
      <c r="A14" s="198" t="s">
        <v>67</v>
      </c>
      <c r="B14" s="133" t="s">
        <v>492</v>
      </c>
      <c r="C14" s="133" t="s">
        <v>79</v>
      </c>
      <c r="D14" s="133"/>
      <c r="E14" s="242">
        <v>39</v>
      </c>
      <c r="F14" s="510"/>
      <c r="G14" s="511"/>
    </row>
    <row r="15" spans="1:7" ht="24" customHeight="1">
      <c r="A15" s="181"/>
      <c r="B15" s="91" t="s">
        <v>202</v>
      </c>
      <c r="C15" s="91" t="s">
        <v>44</v>
      </c>
      <c r="D15" s="91">
        <f>1.15*0.583</f>
        <v>0.6704499999999999</v>
      </c>
      <c r="E15" s="122">
        <f>E14*D15</f>
        <v>26.147549999999995</v>
      </c>
      <c r="F15" s="518"/>
      <c r="G15" s="509"/>
    </row>
    <row r="16" spans="1:7" ht="23.25" customHeight="1">
      <c r="A16" s="181"/>
      <c r="B16" s="91" t="s">
        <v>203</v>
      </c>
      <c r="C16" s="91" t="s">
        <v>54</v>
      </c>
      <c r="D16" s="112">
        <f>1.15*0.0046</f>
        <v>0.0052899999999999996</v>
      </c>
      <c r="E16" s="122">
        <f>E14*D16</f>
        <v>0.20631</v>
      </c>
      <c r="F16" s="519"/>
      <c r="G16" s="509"/>
    </row>
    <row r="17" spans="1:7" ht="24" customHeight="1">
      <c r="A17" s="181"/>
      <c r="B17" s="91" t="s">
        <v>134</v>
      </c>
      <c r="C17" s="91" t="s">
        <v>94</v>
      </c>
      <c r="D17" s="113">
        <v>0.235</v>
      </c>
      <c r="E17" s="122">
        <f>E14*D17</f>
        <v>9.165</v>
      </c>
      <c r="F17" s="519"/>
      <c r="G17" s="509"/>
    </row>
    <row r="18" spans="1:7" ht="23.25" customHeight="1">
      <c r="A18" s="181"/>
      <c r="B18" s="91" t="s">
        <v>56</v>
      </c>
      <c r="C18" s="91" t="s">
        <v>54</v>
      </c>
      <c r="D18" s="113">
        <v>0.208</v>
      </c>
      <c r="E18" s="122">
        <f>E14*D18</f>
        <v>8.112</v>
      </c>
      <c r="F18" s="519"/>
      <c r="G18" s="509"/>
    </row>
    <row r="19" spans="1:7" ht="38.25" customHeight="1">
      <c r="A19" s="198"/>
      <c r="B19" s="431" t="s">
        <v>898</v>
      </c>
      <c r="C19" s="133"/>
      <c r="D19" s="199"/>
      <c r="E19" s="200"/>
      <c r="F19" s="506"/>
      <c r="G19" s="507"/>
    </row>
    <row r="20" spans="1:7" ht="24.75" customHeight="1">
      <c r="A20" s="181"/>
      <c r="B20" s="431" t="s">
        <v>907</v>
      </c>
      <c r="C20" s="91"/>
      <c r="D20" s="113"/>
      <c r="E20" s="122"/>
      <c r="F20" s="519"/>
      <c r="G20" s="509"/>
    </row>
    <row r="21" spans="1:7" ht="30.75" customHeight="1">
      <c r="A21" s="181" t="s">
        <v>51</v>
      </c>
      <c r="B21" s="91" t="s">
        <v>138</v>
      </c>
      <c r="C21" s="91" t="s">
        <v>79</v>
      </c>
      <c r="D21" s="91"/>
      <c r="E21" s="121">
        <v>9</v>
      </c>
      <c r="F21" s="516"/>
      <c r="G21" s="517"/>
    </row>
    <row r="22" spans="1:7" ht="27">
      <c r="A22" s="181" t="s">
        <v>67</v>
      </c>
      <c r="B22" s="91" t="s">
        <v>138</v>
      </c>
      <c r="C22" s="91" t="s">
        <v>79</v>
      </c>
      <c r="D22" s="113"/>
      <c r="E22" s="166">
        <v>39</v>
      </c>
      <c r="F22" s="563"/>
      <c r="G22" s="517"/>
    </row>
    <row r="23" spans="1:7" ht="29.25" customHeight="1">
      <c r="A23" s="181" t="s">
        <v>112</v>
      </c>
      <c r="B23" s="91" t="s">
        <v>192</v>
      </c>
      <c r="C23" s="113" t="s">
        <v>53</v>
      </c>
      <c r="D23" s="113"/>
      <c r="E23" s="166">
        <v>6</v>
      </c>
      <c r="F23" s="563"/>
      <c r="G23" s="517"/>
    </row>
    <row r="24" spans="1:7" ht="27" customHeight="1">
      <c r="A24" s="181" t="s">
        <v>113</v>
      </c>
      <c r="B24" s="91" t="s">
        <v>192</v>
      </c>
      <c r="C24" s="113" t="s">
        <v>53</v>
      </c>
      <c r="D24" s="113"/>
      <c r="E24" s="166">
        <v>15</v>
      </c>
      <c r="F24" s="563"/>
      <c r="G24" s="517"/>
    </row>
    <row r="25" spans="1:7" ht="24" customHeight="1">
      <c r="A25" s="198"/>
      <c r="B25" s="431" t="s">
        <v>908</v>
      </c>
      <c r="C25" s="133"/>
      <c r="D25" s="420"/>
      <c r="E25" s="420"/>
      <c r="F25" s="572"/>
      <c r="G25" s="507"/>
    </row>
    <row r="26" spans="1:7" ht="32.25" customHeight="1">
      <c r="A26" s="121"/>
      <c r="B26" s="431" t="s">
        <v>909</v>
      </c>
      <c r="C26" s="91" t="s">
        <v>54</v>
      </c>
      <c r="D26" s="91"/>
      <c r="E26" s="86"/>
      <c r="F26" s="516"/>
      <c r="G26" s="507"/>
    </row>
    <row r="27" spans="1:7" ht="24.75" customHeight="1">
      <c r="A27" s="121"/>
      <c r="B27" s="91" t="s">
        <v>43</v>
      </c>
      <c r="C27" s="91" t="s">
        <v>54</v>
      </c>
      <c r="D27" s="91"/>
      <c r="E27" s="130">
        <v>0.12</v>
      </c>
      <c r="F27" s="516"/>
      <c r="G27" s="517"/>
    </row>
    <row r="28" spans="1:7" ht="22.5" customHeight="1">
      <c r="A28" s="234"/>
      <c r="B28" s="133" t="s">
        <v>55</v>
      </c>
      <c r="C28" s="133" t="s">
        <v>54</v>
      </c>
      <c r="D28" s="133"/>
      <c r="E28" s="133"/>
      <c r="F28" s="510"/>
      <c r="G28" s="507"/>
    </row>
    <row r="29" spans="1:7" ht="31.5" customHeight="1">
      <c r="A29" s="121"/>
      <c r="B29" s="91" t="s">
        <v>69</v>
      </c>
      <c r="C29" s="91" t="s">
        <v>54</v>
      </c>
      <c r="D29" s="91"/>
      <c r="E29" s="130">
        <v>0.08</v>
      </c>
      <c r="F29" s="516"/>
      <c r="G29" s="517"/>
    </row>
    <row r="30" spans="1:7" ht="22.5" customHeight="1">
      <c r="A30" s="234"/>
      <c r="B30" s="133" t="s">
        <v>60</v>
      </c>
      <c r="C30" s="133" t="s">
        <v>54</v>
      </c>
      <c r="D30" s="133"/>
      <c r="E30" s="235"/>
      <c r="F30" s="510"/>
      <c r="G30" s="507"/>
    </row>
    <row r="31" spans="1:7" ht="15">
      <c r="A31" s="136"/>
      <c r="B31" s="88"/>
      <c r="C31" s="77"/>
      <c r="D31" s="138"/>
      <c r="E31" s="138"/>
      <c r="F31" s="138"/>
      <c r="G31" s="94"/>
    </row>
    <row r="33" spans="1:7" ht="24.75" customHeight="1">
      <c r="A33" s="139"/>
      <c r="B33" s="468" t="s">
        <v>886</v>
      </c>
      <c r="C33" s="468"/>
      <c r="D33" s="468"/>
      <c r="E33" s="468"/>
      <c r="F33" s="468"/>
      <c r="G33" s="468"/>
    </row>
  </sheetData>
  <sheetProtection password="CF2D" sheet="1"/>
  <mergeCells count="10">
    <mergeCell ref="B33:G33"/>
    <mergeCell ref="A1:G1"/>
    <mergeCell ref="A2:G2"/>
    <mergeCell ref="A3:G3"/>
    <mergeCell ref="A4:G4"/>
    <mergeCell ref="A5:A6"/>
    <mergeCell ref="B5:B6"/>
    <mergeCell ref="C5:C6"/>
    <mergeCell ref="D5:E5"/>
    <mergeCell ref="F5:G5"/>
  </mergeCells>
  <printOptions/>
  <pageMargins left="0.7" right="0.28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M70"/>
  <sheetViews>
    <sheetView zoomScalePageLayoutView="0" workbookViewId="0" topLeftCell="A1">
      <selection activeCell="F9" sqref="F9:G63"/>
    </sheetView>
  </sheetViews>
  <sheetFormatPr defaultColWidth="9.140625" defaultRowHeight="12.75"/>
  <cols>
    <col min="1" max="1" width="4.140625" style="13" customWidth="1"/>
    <col min="2" max="2" width="43.8515625" style="1" customWidth="1"/>
    <col min="3" max="4" width="6.7109375" style="1" customWidth="1"/>
    <col min="5" max="5" width="8.8515625" style="17" customWidth="1"/>
    <col min="6" max="6" width="8.57421875" style="1" customWidth="1"/>
    <col min="7" max="7" width="10.8515625" style="11" customWidth="1"/>
    <col min="8" max="8" width="16.140625" style="11" hidden="1" customWidth="1"/>
    <col min="9" max="9" width="22.140625" style="3" hidden="1" customWidth="1"/>
    <col min="10" max="10" width="17.57421875" style="3" hidden="1" customWidth="1"/>
    <col min="11" max="11" width="12.8515625" style="3" customWidth="1"/>
    <col min="12" max="12" width="9.140625" style="3" customWidth="1"/>
    <col min="13" max="16384" width="9.140625" style="1" customWidth="1"/>
  </cols>
  <sheetData>
    <row r="1" spans="1:12" s="22" customFormat="1" ht="46.5" customHeight="1">
      <c r="A1" s="469" t="s">
        <v>824</v>
      </c>
      <c r="B1" s="470"/>
      <c r="C1" s="470"/>
      <c r="D1" s="470"/>
      <c r="E1" s="470"/>
      <c r="F1" s="470"/>
      <c r="G1" s="470"/>
      <c r="H1" s="3"/>
      <c r="I1" s="20"/>
      <c r="J1" s="20"/>
      <c r="K1" s="20"/>
      <c r="L1" s="20"/>
    </row>
    <row r="2" spans="1:8" ht="18" customHeight="1">
      <c r="A2" s="471" t="s">
        <v>495</v>
      </c>
      <c r="B2" s="471"/>
      <c r="C2" s="471"/>
      <c r="D2" s="471"/>
      <c r="E2" s="471"/>
      <c r="F2" s="471"/>
      <c r="G2" s="471"/>
      <c r="H2" s="3"/>
    </row>
    <row r="3" spans="1:13" ht="15.75" customHeight="1">
      <c r="A3" s="471" t="s">
        <v>236</v>
      </c>
      <c r="B3" s="471"/>
      <c r="C3" s="471"/>
      <c r="D3" s="471"/>
      <c r="E3" s="471"/>
      <c r="F3" s="471"/>
      <c r="G3" s="471"/>
      <c r="H3" s="23"/>
      <c r="M3" s="3"/>
    </row>
    <row r="4" spans="1:8" ht="15.75" customHeight="1">
      <c r="A4" s="475" t="s">
        <v>349</v>
      </c>
      <c r="B4" s="475"/>
      <c r="C4" s="475"/>
      <c r="D4" s="475"/>
      <c r="E4" s="475"/>
      <c r="F4" s="475"/>
      <c r="G4" s="475"/>
      <c r="H4" s="3"/>
    </row>
    <row r="5" spans="1:9" ht="26.25" customHeight="1">
      <c r="A5" s="461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  <c r="H5" s="10"/>
      <c r="I5" s="10"/>
    </row>
    <row r="6" spans="1:9" ht="54.75" customHeight="1">
      <c r="A6" s="461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  <c r="H6" s="12"/>
      <c r="I6" s="10"/>
    </row>
    <row r="7" spans="1:12" s="5" customFormat="1" ht="14.25" customHeight="1">
      <c r="A7" s="198" t="s">
        <v>51</v>
      </c>
      <c r="B7" s="248">
        <v>3</v>
      </c>
      <c r="C7" s="248">
        <v>4</v>
      </c>
      <c r="D7" s="248">
        <v>5</v>
      </c>
      <c r="E7" s="248">
        <v>6</v>
      </c>
      <c r="F7" s="248">
        <v>7</v>
      </c>
      <c r="G7" s="234">
        <v>8</v>
      </c>
      <c r="H7" s="9"/>
      <c r="I7" s="14"/>
      <c r="J7" s="6"/>
      <c r="K7" s="6"/>
      <c r="L7" s="6"/>
    </row>
    <row r="8" spans="1:7" s="5" customFormat="1" ht="24" customHeight="1">
      <c r="A8" s="408"/>
      <c r="B8" s="248" t="s">
        <v>186</v>
      </c>
      <c r="C8" s="248"/>
      <c r="D8" s="248"/>
      <c r="E8" s="248"/>
      <c r="F8" s="248"/>
      <c r="G8" s="234"/>
    </row>
    <row r="9" spans="1:8" s="35" customFormat="1" ht="45.75" customHeight="1">
      <c r="A9" s="198" t="s">
        <v>51</v>
      </c>
      <c r="B9" s="431" t="s">
        <v>910</v>
      </c>
      <c r="C9" s="199" t="s">
        <v>53</v>
      </c>
      <c r="D9" s="133"/>
      <c r="E9" s="234">
        <v>76</v>
      </c>
      <c r="F9" s="510"/>
      <c r="G9" s="511"/>
      <c r="H9" s="7">
        <f aca="true" t="shared" si="0" ref="H9:H16">G9</f>
        <v>0</v>
      </c>
    </row>
    <row r="10" spans="1:9" s="35" customFormat="1" ht="18.75" customHeight="1">
      <c r="A10" s="181"/>
      <c r="B10" s="91" t="s">
        <v>209</v>
      </c>
      <c r="C10" s="91" t="s">
        <v>44</v>
      </c>
      <c r="D10" s="91">
        <f>1.15*1.41</f>
        <v>1.6214999999999997</v>
      </c>
      <c r="E10" s="122">
        <f>E9*D10</f>
        <v>123.23399999999998</v>
      </c>
      <c r="F10" s="518"/>
      <c r="G10" s="531"/>
      <c r="H10" s="7">
        <f t="shared" si="0"/>
        <v>0</v>
      </c>
      <c r="I10" s="34">
        <f>G10</f>
        <v>0</v>
      </c>
    </row>
    <row r="11" spans="1:8" s="31" customFormat="1" ht="18.75" customHeight="1">
      <c r="A11" s="181"/>
      <c r="B11" s="91" t="s">
        <v>210</v>
      </c>
      <c r="C11" s="91" t="s">
        <v>54</v>
      </c>
      <c r="D11" s="114">
        <f>1.15*0.161</f>
        <v>0.18514999999999998</v>
      </c>
      <c r="E11" s="122">
        <f>E9*D11</f>
        <v>14.071399999999999</v>
      </c>
      <c r="F11" s="519"/>
      <c r="G11" s="531"/>
      <c r="H11" s="7">
        <f t="shared" si="0"/>
        <v>0</v>
      </c>
    </row>
    <row r="12" spans="1:8" s="31" customFormat="1" ht="17.25" customHeight="1">
      <c r="A12" s="181"/>
      <c r="B12" s="91" t="s">
        <v>56</v>
      </c>
      <c r="C12" s="91" t="s">
        <v>54</v>
      </c>
      <c r="D12" s="113">
        <v>0.048</v>
      </c>
      <c r="E12" s="122">
        <f>E9*D12</f>
        <v>3.648</v>
      </c>
      <c r="F12" s="519"/>
      <c r="G12" s="531"/>
      <c r="H12" s="7">
        <f t="shared" si="0"/>
        <v>0</v>
      </c>
    </row>
    <row r="13" spans="1:8" s="5" customFormat="1" ht="50.25" customHeight="1">
      <c r="A13" s="198" t="s">
        <v>67</v>
      </c>
      <c r="B13" s="133" t="s">
        <v>351</v>
      </c>
      <c r="C13" s="133" t="s">
        <v>61</v>
      </c>
      <c r="D13" s="133"/>
      <c r="E13" s="242">
        <v>424</v>
      </c>
      <c r="F13" s="510"/>
      <c r="G13" s="511"/>
      <c r="H13" s="7">
        <f t="shared" si="0"/>
        <v>0</v>
      </c>
    </row>
    <row r="14" spans="1:9" s="31" customFormat="1" ht="20.25" customHeight="1">
      <c r="A14" s="181"/>
      <c r="B14" s="91" t="s">
        <v>211</v>
      </c>
      <c r="C14" s="91" t="s">
        <v>44</v>
      </c>
      <c r="D14" s="91">
        <f>1.15*0.345</f>
        <v>0.39674999999999994</v>
      </c>
      <c r="E14" s="122">
        <f>E13*D14</f>
        <v>168.22199999999998</v>
      </c>
      <c r="F14" s="518"/>
      <c r="G14" s="531"/>
      <c r="H14" s="7">
        <f t="shared" si="0"/>
        <v>0</v>
      </c>
      <c r="I14" s="34">
        <f>G14</f>
        <v>0</v>
      </c>
    </row>
    <row r="15" spans="1:8" s="31" customFormat="1" ht="18" customHeight="1">
      <c r="A15" s="181"/>
      <c r="B15" s="91" t="s">
        <v>212</v>
      </c>
      <c r="C15" s="91" t="s">
        <v>54</v>
      </c>
      <c r="D15" s="112">
        <f>1.15*0.0129</f>
        <v>0.014835</v>
      </c>
      <c r="E15" s="122">
        <f>E13*D15</f>
        <v>6.290039999999999</v>
      </c>
      <c r="F15" s="518"/>
      <c r="G15" s="531"/>
      <c r="H15" s="7">
        <f t="shared" si="0"/>
        <v>0</v>
      </c>
    </row>
    <row r="16" spans="1:8" s="35" customFormat="1" ht="20.25" customHeight="1">
      <c r="A16" s="181"/>
      <c r="B16" s="91" t="s">
        <v>56</v>
      </c>
      <c r="C16" s="91" t="s">
        <v>54</v>
      </c>
      <c r="D16" s="113">
        <v>0.0149</v>
      </c>
      <c r="E16" s="122">
        <f>E13*D16</f>
        <v>6.3176</v>
      </c>
      <c r="F16" s="518"/>
      <c r="G16" s="531"/>
      <c r="H16" s="7">
        <f t="shared" si="0"/>
        <v>0</v>
      </c>
    </row>
    <row r="17" spans="1:8" s="5" customFormat="1" ht="48" customHeight="1">
      <c r="A17" s="198" t="s">
        <v>112</v>
      </c>
      <c r="B17" s="133" t="s">
        <v>367</v>
      </c>
      <c r="C17" s="133" t="s">
        <v>61</v>
      </c>
      <c r="D17" s="133"/>
      <c r="E17" s="242">
        <v>16</v>
      </c>
      <c r="F17" s="510"/>
      <c r="G17" s="511"/>
      <c r="H17" s="7">
        <f aca="true" t="shared" si="1" ref="H17:H36">G21</f>
        <v>0</v>
      </c>
    </row>
    <row r="18" spans="1:9" s="30" customFormat="1" ht="17.25" customHeight="1">
      <c r="A18" s="181"/>
      <c r="B18" s="91" t="s">
        <v>352</v>
      </c>
      <c r="C18" s="91" t="s">
        <v>44</v>
      </c>
      <c r="D18" s="112">
        <v>0.497</v>
      </c>
      <c r="E18" s="122">
        <f>E17*D18</f>
        <v>7.952</v>
      </c>
      <c r="F18" s="518"/>
      <c r="G18" s="531"/>
      <c r="H18" s="7">
        <f t="shared" si="1"/>
        <v>0</v>
      </c>
      <c r="I18" s="37">
        <f>G22</f>
        <v>0</v>
      </c>
    </row>
    <row r="19" spans="1:8" s="30" customFormat="1" ht="16.5" customHeight="1">
      <c r="A19" s="181"/>
      <c r="B19" s="91" t="s">
        <v>353</v>
      </c>
      <c r="C19" s="91" t="s">
        <v>54</v>
      </c>
      <c r="D19" s="112">
        <v>0.0698</v>
      </c>
      <c r="E19" s="122">
        <f>E17*D19</f>
        <v>1.1168</v>
      </c>
      <c r="F19" s="518"/>
      <c r="G19" s="531"/>
      <c r="H19" s="7">
        <f t="shared" si="1"/>
        <v>0</v>
      </c>
    </row>
    <row r="20" spans="1:8" s="40" customFormat="1" ht="18.75" customHeight="1">
      <c r="A20" s="181"/>
      <c r="B20" s="91" t="s">
        <v>56</v>
      </c>
      <c r="C20" s="91" t="s">
        <v>54</v>
      </c>
      <c r="D20" s="183">
        <v>0.0174</v>
      </c>
      <c r="E20" s="122">
        <f>E17*D20</f>
        <v>0.2784</v>
      </c>
      <c r="F20" s="518"/>
      <c r="G20" s="531"/>
      <c r="H20" s="7">
        <f t="shared" si="1"/>
        <v>0</v>
      </c>
    </row>
    <row r="21" spans="1:8" s="33" customFormat="1" ht="44.25" customHeight="1">
      <c r="A21" s="198" t="s">
        <v>113</v>
      </c>
      <c r="B21" s="133" t="s">
        <v>368</v>
      </c>
      <c r="C21" s="133" t="s">
        <v>61</v>
      </c>
      <c r="D21" s="133"/>
      <c r="E21" s="242">
        <v>100</v>
      </c>
      <c r="F21" s="510"/>
      <c r="G21" s="511"/>
      <c r="H21" s="7">
        <f t="shared" si="1"/>
        <v>0</v>
      </c>
    </row>
    <row r="22" spans="1:9" s="33" customFormat="1" ht="18" customHeight="1">
      <c r="A22" s="181"/>
      <c r="B22" s="91" t="s">
        <v>354</v>
      </c>
      <c r="C22" s="91" t="s">
        <v>44</v>
      </c>
      <c r="D22" s="91">
        <f>1.15*0.571</f>
        <v>0.6566499999999998</v>
      </c>
      <c r="E22" s="122">
        <f>E21*D22</f>
        <v>65.66499999999998</v>
      </c>
      <c r="F22" s="518"/>
      <c r="G22" s="531"/>
      <c r="H22" s="7">
        <f t="shared" si="1"/>
        <v>0</v>
      </c>
      <c r="I22" s="37">
        <f>G26</f>
        <v>0</v>
      </c>
    </row>
    <row r="23" spans="1:8" s="30" customFormat="1" ht="16.5" customHeight="1">
      <c r="A23" s="181"/>
      <c r="B23" s="91" t="s">
        <v>355</v>
      </c>
      <c r="C23" s="91" t="s">
        <v>54</v>
      </c>
      <c r="D23" s="114">
        <f>1.15*0.0398</f>
        <v>0.04577</v>
      </c>
      <c r="E23" s="122">
        <f>E21*D23</f>
        <v>4.577</v>
      </c>
      <c r="F23" s="519"/>
      <c r="G23" s="531"/>
      <c r="H23" s="7">
        <f t="shared" si="1"/>
        <v>0</v>
      </c>
    </row>
    <row r="24" spans="1:8" s="30" customFormat="1" ht="16.5" customHeight="1">
      <c r="A24" s="181"/>
      <c r="B24" s="91" t="s">
        <v>56</v>
      </c>
      <c r="C24" s="91" t="s">
        <v>54</v>
      </c>
      <c r="D24" s="113">
        <v>0.0462</v>
      </c>
      <c r="E24" s="122">
        <f>E21*D24</f>
        <v>4.62</v>
      </c>
      <c r="F24" s="519"/>
      <c r="G24" s="531"/>
      <c r="H24" s="7">
        <f t="shared" si="1"/>
        <v>0</v>
      </c>
    </row>
    <row r="25" spans="1:8" s="33" customFormat="1" ht="36.75" customHeight="1">
      <c r="A25" s="198" t="s">
        <v>113</v>
      </c>
      <c r="B25" s="133" t="s">
        <v>356</v>
      </c>
      <c r="C25" s="133" t="s">
        <v>61</v>
      </c>
      <c r="D25" s="133"/>
      <c r="E25" s="234">
        <f>E13+E17</f>
        <v>440</v>
      </c>
      <c r="F25" s="510"/>
      <c r="G25" s="511"/>
      <c r="H25" s="7">
        <f t="shared" si="1"/>
        <v>0</v>
      </c>
    </row>
    <row r="26" spans="1:9" s="33" customFormat="1" ht="17.25" customHeight="1">
      <c r="A26" s="181"/>
      <c r="B26" s="91" t="s">
        <v>200</v>
      </c>
      <c r="C26" s="91" t="s">
        <v>44</v>
      </c>
      <c r="D26" s="91">
        <f>1.15*0.0516</f>
        <v>0.05934</v>
      </c>
      <c r="E26" s="122">
        <f>E25*D26</f>
        <v>26.1096</v>
      </c>
      <c r="F26" s="518"/>
      <c r="G26" s="509"/>
      <c r="H26" s="7">
        <f t="shared" si="1"/>
        <v>0</v>
      </c>
      <c r="I26" s="37">
        <f>G30</f>
        <v>0</v>
      </c>
    </row>
    <row r="27" spans="1:8" s="30" customFormat="1" ht="18.75" customHeight="1">
      <c r="A27" s="181"/>
      <c r="B27" s="91" t="s">
        <v>73</v>
      </c>
      <c r="C27" s="91" t="s">
        <v>52</v>
      </c>
      <c r="D27" s="113">
        <v>0.01</v>
      </c>
      <c r="E27" s="122">
        <f>E25*D27</f>
        <v>4.4</v>
      </c>
      <c r="F27" s="519"/>
      <c r="G27" s="531"/>
      <c r="H27" s="7">
        <f t="shared" si="1"/>
        <v>0</v>
      </c>
    </row>
    <row r="28" spans="1:8" s="30" customFormat="1" ht="18" customHeight="1">
      <c r="A28" s="181"/>
      <c r="B28" s="91" t="s">
        <v>56</v>
      </c>
      <c r="C28" s="91" t="s">
        <v>54</v>
      </c>
      <c r="D28" s="113">
        <v>0.0011</v>
      </c>
      <c r="E28" s="122">
        <f>E25*D28</f>
        <v>0.48400000000000004</v>
      </c>
      <c r="F28" s="519"/>
      <c r="G28" s="509"/>
      <c r="H28" s="7">
        <f t="shared" si="1"/>
        <v>0</v>
      </c>
    </row>
    <row r="29" spans="1:9" s="33" customFormat="1" ht="37.5" customHeight="1">
      <c r="A29" s="198" t="s">
        <v>71</v>
      </c>
      <c r="B29" s="133" t="s">
        <v>357</v>
      </c>
      <c r="C29" s="133" t="s">
        <v>61</v>
      </c>
      <c r="D29" s="133"/>
      <c r="E29" s="234">
        <f>E21</f>
        <v>100</v>
      </c>
      <c r="F29" s="510"/>
      <c r="G29" s="511"/>
      <c r="H29" s="7">
        <f t="shared" si="1"/>
        <v>0</v>
      </c>
      <c r="I29" s="27"/>
    </row>
    <row r="30" spans="1:10" s="33" customFormat="1" ht="20.25" customHeight="1">
      <c r="A30" s="181"/>
      <c r="B30" s="91" t="s">
        <v>200</v>
      </c>
      <c r="C30" s="91" t="s">
        <v>44</v>
      </c>
      <c r="D30" s="91">
        <f>1.15*0.0516</f>
        <v>0.05934</v>
      </c>
      <c r="E30" s="122">
        <f>E29*D30</f>
        <v>5.933999999999999</v>
      </c>
      <c r="F30" s="518"/>
      <c r="G30" s="531"/>
      <c r="H30" s="7">
        <f t="shared" si="1"/>
        <v>0</v>
      </c>
      <c r="I30" s="27">
        <f>G34</f>
        <v>0</v>
      </c>
      <c r="J30" s="53"/>
    </row>
    <row r="31" spans="1:9" s="30" customFormat="1" ht="15.75" customHeight="1">
      <c r="A31" s="181"/>
      <c r="B31" s="91" t="s">
        <v>73</v>
      </c>
      <c r="C31" s="91" t="s">
        <v>52</v>
      </c>
      <c r="D31" s="113">
        <v>0.038</v>
      </c>
      <c r="E31" s="122">
        <f>E29*D31</f>
        <v>3.8</v>
      </c>
      <c r="F31" s="519"/>
      <c r="G31" s="531"/>
      <c r="H31" s="7">
        <f t="shared" si="1"/>
        <v>0</v>
      </c>
      <c r="I31" s="27"/>
    </row>
    <row r="32" spans="1:9" s="30" customFormat="1" ht="18.75" customHeight="1">
      <c r="A32" s="181"/>
      <c r="B32" s="91" t="s">
        <v>136</v>
      </c>
      <c r="C32" s="91" t="s">
        <v>54</v>
      </c>
      <c r="D32" s="113">
        <v>0.0011</v>
      </c>
      <c r="E32" s="122">
        <f>E29*D32</f>
        <v>0.11</v>
      </c>
      <c r="F32" s="519"/>
      <c r="G32" s="531"/>
      <c r="H32" s="7">
        <f t="shared" si="1"/>
        <v>0</v>
      </c>
      <c r="I32" s="27"/>
    </row>
    <row r="33" spans="1:9" s="33" customFormat="1" ht="58.5" customHeight="1">
      <c r="A33" s="198" t="s">
        <v>75</v>
      </c>
      <c r="B33" s="133" t="s">
        <v>365</v>
      </c>
      <c r="C33" s="133" t="s">
        <v>53</v>
      </c>
      <c r="D33" s="133"/>
      <c r="E33" s="234">
        <v>176</v>
      </c>
      <c r="F33" s="510"/>
      <c r="G33" s="511"/>
      <c r="H33" s="7">
        <f t="shared" si="1"/>
        <v>0</v>
      </c>
      <c r="I33" s="27"/>
    </row>
    <row r="34" spans="1:10" s="33" customFormat="1" ht="22.5" customHeight="1">
      <c r="A34" s="181"/>
      <c r="B34" s="91" t="s">
        <v>196</v>
      </c>
      <c r="C34" s="91" t="s">
        <v>44</v>
      </c>
      <c r="D34" s="112">
        <v>1.7365</v>
      </c>
      <c r="E34" s="122">
        <f>E33*D34</f>
        <v>305.62399999999997</v>
      </c>
      <c r="F34" s="518"/>
      <c r="G34" s="531"/>
      <c r="H34" s="7">
        <f t="shared" si="1"/>
        <v>0</v>
      </c>
      <c r="I34" s="27">
        <f>G38</f>
        <v>0</v>
      </c>
      <c r="J34" s="53"/>
    </row>
    <row r="35" spans="1:9" s="30" customFormat="1" ht="15.75" customHeight="1">
      <c r="A35" s="181"/>
      <c r="B35" s="91" t="s">
        <v>197</v>
      </c>
      <c r="C35" s="91" t="s">
        <v>54</v>
      </c>
      <c r="D35" s="112">
        <v>0.15</v>
      </c>
      <c r="E35" s="122">
        <f>E33*D35</f>
        <v>26.4</v>
      </c>
      <c r="F35" s="519"/>
      <c r="G35" s="531"/>
      <c r="H35" s="7">
        <f t="shared" si="1"/>
        <v>0</v>
      </c>
      <c r="I35" s="27"/>
    </row>
    <row r="36" spans="1:9" s="30" customFormat="1" ht="16.5" customHeight="1">
      <c r="A36" s="181"/>
      <c r="B36" s="91" t="s">
        <v>136</v>
      </c>
      <c r="C36" s="91" t="s">
        <v>54</v>
      </c>
      <c r="D36" s="183">
        <v>0.07</v>
      </c>
      <c r="E36" s="122">
        <f>E33*D36</f>
        <v>12.32</v>
      </c>
      <c r="F36" s="519"/>
      <c r="G36" s="531"/>
      <c r="H36" s="7">
        <f t="shared" si="1"/>
        <v>0</v>
      </c>
      <c r="I36" s="27"/>
    </row>
    <row r="37" spans="1:8" s="44" customFormat="1" ht="36.75" customHeight="1">
      <c r="A37" s="198" t="s">
        <v>76</v>
      </c>
      <c r="B37" s="133" t="s">
        <v>359</v>
      </c>
      <c r="C37" s="133" t="s">
        <v>53</v>
      </c>
      <c r="D37" s="133"/>
      <c r="E37" s="234">
        <v>4</v>
      </c>
      <c r="F37" s="510"/>
      <c r="G37" s="511"/>
      <c r="H37" s="18">
        <f>SUM(H8:H36)/2</f>
        <v>0</v>
      </c>
    </row>
    <row r="38" spans="1:8" s="38" customFormat="1" ht="18.75" customHeight="1">
      <c r="A38" s="181"/>
      <c r="B38" s="91" t="s">
        <v>264</v>
      </c>
      <c r="C38" s="91" t="s">
        <v>44</v>
      </c>
      <c r="D38" s="112">
        <f>1.15*2.67</f>
        <v>3.0704999999999996</v>
      </c>
      <c r="E38" s="122">
        <f>E37*D38</f>
        <v>12.281999999999998</v>
      </c>
      <c r="F38" s="518"/>
      <c r="G38" s="531"/>
      <c r="H38" s="39"/>
    </row>
    <row r="39" spans="1:7" s="33" customFormat="1" ht="18" customHeight="1">
      <c r="A39" s="181"/>
      <c r="B39" s="91" t="s">
        <v>358</v>
      </c>
      <c r="C39" s="91" t="s">
        <v>54</v>
      </c>
      <c r="D39" s="112">
        <v>0.334</v>
      </c>
      <c r="E39" s="122">
        <f>E37*D39</f>
        <v>1.336</v>
      </c>
      <c r="F39" s="519"/>
      <c r="G39" s="531"/>
    </row>
    <row r="40" spans="1:7" s="33" customFormat="1" ht="17.25" customHeight="1">
      <c r="A40" s="181"/>
      <c r="B40" s="91" t="s">
        <v>136</v>
      </c>
      <c r="C40" s="91" t="s">
        <v>54</v>
      </c>
      <c r="D40" s="183">
        <v>0.2</v>
      </c>
      <c r="E40" s="122">
        <f>E37*D40</f>
        <v>0.8</v>
      </c>
      <c r="F40" s="519"/>
      <c r="G40" s="531"/>
    </row>
    <row r="41" spans="1:7" s="4" customFormat="1" ht="17.25" customHeight="1">
      <c r="A41" s="198"/>
      <c r="B41" s="431" t="s">
        <v>898</v>
      </c>
      <c r="C41" s="133"/>
      <c r="D41" s="199"/>
      <c r="E41" s="200"/>
      <c r="F41" s="506"/>
      <c r="G41" s="507"/>
    </row>
    <row r="42" spans="1:9" s="38" customFormat="1" ht="18" customHeight="1">
      <c r="A42" s="181"/>
      <c r="B42" s="431" t="s">
        <v>911</v>
      </c>
      <c r="C42" s="91"/>
      <c r="D42" s="113"/>
      <c r="E42" s="122"/>
      <c r="F42" s="519"/>
      <c r="G42" s="509"/>
      <c r="I42" s="39"/>
    </row>
    <row r="43" spans="1:7" s="33" customFormat="1" ht="20.25" customHeight="1">
      <c r="A43" s="181" t="s">
        <v>51</v>
      </c>
      <c r="B43" s="91" t="s">
        <v>350</v>
      </c>
      <c r="C43" s="91" t="s">
        <v>61</v>
      </c>
      <c r="D43" s="113"/>
      <c r="E43" s="122">
        <v>71.2</v>
      </c>
      <c r="F43" s="563"/>
      <c r="G43" s="517"/>
    </row>
    <row r="44" spans="1:7" s="33" customFormat="1" ht="19.5" customHeight="1">
      <c r="A44" s="181" t="s">
        <v>67</v>
      </c>
      <c r="B44" s="91" t="s">
        <v>207</v>
      </c>
      <c r="C44" s="91" t="s">
        <v>53</v>
      </c>
      <c r="D44" s="113"/>
      <c r="E44" s="166">
        <v>76</v>
      </c>
      <c r="F44" s="563"/>
      <c r="G44" s="517"/>
    </row>
    <row r="45" spans="1:7" s="33" customFormat="1" ht="16.5" customHeight="1">
      <c r="A45" s="181" t="s">
        <v>112</v>
      </c>
      <c r="B45" s="91" t="s">
        <v>208</v>
      </c>
      <c r="C45" s="91" t="s">
        <v>53</v>
      </c>
      <c r="D45" s="113"/>
      <c r="E45" s="166">
        <v>76</v>
      </c>
      <c r="F45" s="563"/>
      <c r="G45" s="517"/>
    </row>
    <row r="46" spans="1:7" s="33" customFormat="1" ht="15.75" customHeight="1">
      <c r="A46" s="181" t="s">
        <v>113</v>
      </c>
      <c r="B46" s="91" t="s">
        <v>360</v>
      </c>
      <c r="C46" s="91" t="s">
        <v>53</v>
      </c>
      <c r="D46" s="113"/>
      <c r="E46" s="166">
        <v>4</v>
      </c>
      <c r="F46" s="563"/>
      <c r="G46" s="517"/>
    </row>
    <row r="47" spans="1:7" s="33" customFormat="1" ht="17.25" customHeight="1">
      <c r="A47" s="181" t="s">
        <v>71</v>
      </c>
      <c r="B47" s="91" t="s">
        <v>338</v>
      </c>
      <c r="C47" s="91" t="s">
        <v>53</v>
      </c>
      <c r="D47" s="113"/>
      <c r="E47" s="166">
        <v>4</v>
      </c>
      <c r="F47" s="563"/>
      <c r="G47" s="517"/>
    </row>
    <row r="48" spans="1:7" s="33" customFormat="1" ht="17.25" customHeight="1">
      <c r="A48" s="181" t="s">
        <v>75</v>
      </c>
      <c r="B48" s="91" t="s">
        <v>361</v>
      </c>
      <c r="C48" s="91" t="s">
        <v>53</v>
      </c>
      <c r="D48" s="113"/>
      <c r="E48" s="166">
        <v>16</v>
      </c>
      <c r="F48" s="563"/>
      <c r="G48" s="517"/>
    </row>
    <row r="49" spans="1:7" s="33" customFormat="1" ht="17.25" customHeight="1">
      <c r="A49" s="181" t="s">
        <v>76</v>
      </c>
      <c r="B49" s="91" t="s">
        <v>362</v>
      </c>
      <c r="C49" s="91" t="s">
        <v>53</v>
      </c>
      <c r="D49" s="113"/>
      <c r="E49" s="166">
        <v>4</v>
      </c>
      <c r="F49" s="563"/>
      <c r="G49" s="517"/>
    </row>
    <row r="50" spans="1:7" s="4" customFormat="1" ht="19.5" customHeight="1">
      <c r="A50" s="181" t="s">
        <v>126</v>
      </c>
      <c r="B50" s="91" t="s">
        <v>333</v>
      </c>
      <c r="C50" s="91" t="s">
        <v>79</v>
      </c>
      <c r="D50" s="113"/>
      <c r="E50" s="166">
        <v>40</v>
      </c>
      <c r="F50" s="563"/>
      <c r="G50" s="517"/>
    </row>
    <row r="51" spans="1:7" s="4" customFormat="1" ht="17.25" customHeight="1">
      <c r="A51" s="181" t="s">
        <v>121</v>
      </c>
      <c r="B51" s="91" t="s">
        <v>334</v>
      </c>
      <c r="C51" s="91" t="s">
        <v>79</v>
      </c>
      <c r="D51" s="113"/>
      <c r="E51" s="166">
        <v>4</v>
      </c>
      <c r="F51" s="563"/>
      <c r="G51" s="517"/>
    </row>
    <row r="52" spans="1:7" s="4" customFormat="1" ht="18" customHeight="1">
      <c r="A52" s="181" t="s">
        <v>122</v>
      </c>
      <c r="B52" s="91" t="s">
        <v>335</v>
      </c>
      <c r="C52" s="91" t="s">
        <v>79</v>
      </c>
      <c r="D52" s="113"/>
      <c r="E52" s="166">
        <v>100</v>
      </c>
      <c r="F52" s="563"/>
      <c r="G52" s="517"/>
    </row>
    <row r="53" spans="1:7" s="4" customFormat="1" ht="18" customHeight="1">
      <c r="A53" s="181" t="s">
        <v>152</v>
      </c>
      <c r="B53" s="91" t="s">
        <v>363</v>
      </c>
      <c r="C53" s="91" t="s">
        <v>79</v>
      </c>
      <c r="D53" s="113"/>
      <c r="E53" s="166">
        <v>280</v>
      </c>
      <c r="F53" s="563"/>
      <c r="G53" s="517"/>
    </row>
    <row r="54" spans="1:7" s="4" customFormat="1" ht="19.5" customHeight="1">
      <c r="A54" s="181" t="s">
        <v>189</v>
      </c>
      <c r="B54" s="91" t="s">
        <v>336</v>
      </c>
      <c r="C54" s="91" t="s">
        <v>79</v>
      </c>
      <c r="D54" s="113"/>
      <c r="E54" s="166">
        <v>16</v>
      </c>
      <c r="F54" s="563"/>
      <c r="G54" s="517"/>
    </row>
    <row r="55" spans="1:7" s="4" customFormat="1" ht="23.25" customHeight="1">
      <c r="A55" s="181" t="s">
        <v>123</v>
      </c>
      <c r="B55" s="91" t="s">
        <v>366</v>
      </c>
      <c r="C55" s="91" t="s">
        <v>79</v>
      </c>
      <c r="D55" s="113"/>
      <c r="E55" s="166">
        <v>100</v>
      </c>
      <c r="F55" s="563"/>
      <c r="G55" s="517"/>
    </row>
    <row r="56" spans="1:7" s="44" customFormat="1" ht="17.25" customHeight="1">
      <c r="A56" s="181" t="s">
        <v>144</v>
      </c>
      <c r="B56" s="91" t="s">
        <v>337</v>
      </c>
      <c r="C56" s="91" t="s">
        <v>53</v>
      </c>
      <c r="D56" s="113"/>
      <c r="E56" s="166">
        <v>700</v>
      </c>
      <c r="F56" s="563"/>
      <c r="G56" s="517"/>
    </row>
    <row r="57" spans="1:9" ht="18.75" customHeight="1">
      <c r="A57" s="181" t="s">
        <v>97</v>
      </c>
      <c r="B57" s="91" t="s">
        <v>364</v>
      </c>
      <c r="C57" s="91" t="s">
        <v>53</v>
      </c>
      <c r="D57" s="113"/>
      <c r="E57" s="166">
        <v>120</v>
      </c>
      <c r="F57" s="563"/>
      <c r="G57" s="517"/>
      <c r="I57" s="8"/>
    </row>
    <row r="58" spans="1:7" ht="21.75" customHeight="1">
      <c r="A58" s="198"/>
      <c r="B58" s="431" t="s">
        <v>908</v>
      </c>
      <c r="C58" s="133"/>
      <c r="D58" s="420"/>
      <c r="E58" s="420"/>
      <c r="F58" s="572"/>
      <c r="G58" s="507"/>
    </row>
    <row r="59" spans="1:8" ht="23.25" customHeight="1">
      <c r="A59" s="121"/>
      <c r="B59" s="133" t="s">
        <v>206</v>
      </c>
      <c r="C59" s="91" t="s">
        <v>54</v>
      </c>
      <c r="D59" s="91"/>
      <c r="E59" s="86"/>
      <c r="F59" s="516"/>
      <c r="G59" s="507"/>
      <c r="H59" s="3"/>
    </row>
    <row r="60" spans="1:7" ht="17.25" customHeight="1">
      <c r="A60" s="121"/>
      <c r="B60" s="91" t="s">
        <v>43</v>
      </c>
      <c r="C60" s="91" t="s">
        <v>54</v>
      </c>
      <c r="D60" s="91"/>
      <c r="E60" s="130">
        <v>0.12</v>
      </c>
      <c r="F60" s="516"/>
      <c r="G60" s="517"/>
    </row>
    <row r="61" spans="1:7" ht="19.5" customHeight="1">
      <c r="A61" s="234"/>
      <c r="B61" s="133" t="s">
        <v>55</v>
      </c>
      <c r="C61" s="133" t="s">
        <v>54</v>
      </c>
      <c r="D61" s="133"/>
      <c r="E61" s="133"/>
      <c r="F61" s="510"/>
      <c r="G61" s="507"/>
    </row>
    <row r="62" spans="1:7" ht="23.25" customHeight="1">
      <c r="A62" s="121"/>
      <c r="B62" s="91" t="s">
        <v>69</v>
      </c>
      <c r="C62" s="91" t="s">
        <v>54</v>
      </c>
      <c r="D62" s="91"/>
      <c r="E62" s="130">
        <v>0.08</v>
      </c>
      <c r="F62" s="516"/>
      <c r="G62" s="517"/>
    </row>
    <row r="63" spans="1:7" ht="27.75" customHeight="1">
      <c r="A63" s="121"/>
      <c r="B63" s="133" t="s">
        <v>60</v>
      </c>
      <c r="C63" s="133" t="s">
        <v>54</v>
      </c>
      <c r="D63" s="91"/>
      <c r="E63" s="130"/>
      <c r="F63" s="516"/>
      <c r="G63" s="507"/>
    </row>
    <row r="64" spans="1:7" ht="2.25" customHeight="1">
      <c r="A64" s="136"/>
      <c r="B64" s="88"/>
      <c r="C64" s="77"/>
      <c r="D64" s="138"/>
      <c r="E64" s="138"/>
      <c r="F64" s="138"/>
      <c r="G64" s="94"/>
    </row>
    <row r="65" spans="1:7" ht="4.5" customHeight="1">
      <c r="A65" s="136"/>
      <c r="B65" s="88"/>
      <c r="C65" s="77"/>
      <c r="D65" s="138"/>
      <c r="E65" s="138"/>
      <c r="F65" s="138"/>
      <c r="G65" s="94"/>
    </row>
    <row r="66" spans="1:7" ht="9.75" customHeight="1">
      <c r="A66" s="136"/>
      <c r="B66" s="88"/>
      <c r="C66" s="77"/>
      <c r="D66" s="138"/>
      <c r="E66" s="138"/>
      <c r="F66" s="138"/>
      <c r="G66" s="94"/>
    </row>
    <row r="67" spans="1:7" ht="18.75" customHeight="1">
      <c r="A67" s="139"/>
      <c r="B67" s="468" t="s">
        <v>886</v>
      </c>
      <c r="C67" s="468"/>
      <c r="D67" s="468"/>
      <c r="E67" s="468"/>
      <c r="F67" s="468"/>
      <c r="G67" s="468"/>
    </row>
    <row r="68" spans="1:7" ht="15.75">
      <c r="A68" s="143"/>
      <c r="B68" s="140"/>
      <c r="C68" s="140"/>
      <c r="D68" s="140"/>
      <c r="E68" s="170"/>
      <c r="F68" s="140"/>
      <c r="G68" s="142"/>
    </row>
    <row r="69" spans="1:7" ht="15.75">
      <c r="A69" s="143"/>
      <c r="B69" s="77"/>
      <c r="C69" s="77"/>
      <c r="D69" s="77"/>
      <c r="E69" s="171"/>
      <c r="F69" s="77"/>
      <c r="G69" s="94"/>
    </row>
    <row r="70" spans="1:7" ht="15.75">
      <c r="A70" s="143"/>
      <c r="B70" s="77"/>
      <c r="C70" s="77"/>
      <c r="D70" s="77"/>
      <c r="E70" s="171"/>
      <c r="F70" s="77"/>
      <c r="G70" s="94"/>
    </row>
  </sheetData>
  <sheetProtection password="CF2D" sheet="1"/>
  <mergeCells count="10">
    <mergeCell ref="A1:G1"/>
    <mergeCell ref="A2:G2"/>
    <mergeCell ref="A4:G4"/>
    <mergeCell ref="A3:G3"/>
    <mergeCell ref="A5:A6"/>
    <mergeCell ref="B5:B6"/>
    <mergeCell ref="C5:C6"/>
    <mergeCell ref="D5:E5"/>
    <mergeCell ref="B67:G67"/>
    <mergeCell ref="F5:G5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U107"/>
  <sheetViews>
    <sheetView zoomScalePageLayoutView="0" workbookViewId="0" topLeftCell="A1">
      <selection activeCell="F8" sqref="F8:G103"/>
    </sheetView>
  </sheetViews>
  <sheetFormatPr defaultColWidth="9.140625" defaultRowHeight="12.75"/>
  <cols>
    <col min="1" max="1" width="4.140625" style="13" customWidth="1"/>
    <col min="2" max="2" width="43.00390625" style="1" customWidth="1"/>
    <col min="3" max="3" width="7.421875" style="1" customWidth="1"/>
    <col min="4" max="4" width="6.7109375" style="1" customWidth="1"/>
    <col min="5" max="5" width="8.28125" style="17" customWidth="1"/>
    <col min="6" max="6" width="8.00390625" style="1" customWidth="1"/>
    <col min="7" max="7" width="10.421875" style="11" customWidth="1"/>
    <col min="8" max="8" width="9.00390625" style="11" hidden="1" customWidth="1"/>
    <col min="9" max="9" width="10.57421875" style="7" hidden="1" customWidth="1"/>
    <col min="10" max="10" width="7.57421875" style="3" hidden="1" customWidth="1"/>
    <col min="11" max="11" width="9.140625" style="3" hidden="1" customWidth="1"/>
    <col min="12" max="13" width="0" style="3" hidden="1" customWidth="1"/>
    <col min="14" max="16384" width="9.140625" style="1" customWidth="1"/>
  </cols>
  <sheetData>
    <row r="1" spans="1:13" s="22" customFormat="1" ht="51" customHeight="1">
      <c r="A1" s="469" t="s">
        <v>824</v>
      </c>
      <c r="B1" s="470"/>
      <c r="C1" s="470"/>
      <c r="D1" s="470"/>
      <c r="E1" s="470"/>
      <c r="F1" s="470"/>
      <c r="G1" s="470"/>
      <c r="H1" s="3"/>
      <c r="I1" s="21"/>
      <c r="J1" s="20"/>
      <c r="K1" s="20"/>
      <c r="L1" s="20"/>
      <c r="M1" s="20"/>
    </row>
    <row r="2" spans="1:9" ht="19.5" customHeight="1">
      <c r="A2" s="475" t="s">
        <v>496</v>
      </c>
      <c r="B2" s="475"/>
      <c r="C2" s="475"/>
      <c r="D2" s="475"/>
      <c r="E2" s="475"/>
      <c r="F2" s="475"/>
      <c r="G2" s="475"/>
      <c r="H2" s="3"/>
      <c r="I2" s="2"/>
    </row>
    <row r="3" spans="1:9" ht="16.5" customHeight="1">
      <c r="A3" s="471" t="s">
        <v>493</v>
      </c>
      <c r="B3" s="471"/>
      <c r="C3" s="471"/>
      <c r="D3" s="471"/>
      <c r="E3" s="471"/>
      <c r="F3" s="471"/>
      <c r="G3" s="471"/>
      <c r="H3" s="3"/>
      <c r="I3" s="2"/>
    </row>
    <row r="4" spans="1:10" ht="26.25" customHeight="1">
      <c r="A4" s="461" t="s">
        <v>46</v>
      </c>
      <c r="B4" s="472" t="s">
        <v>47</v>
      </c>
      <c r="C4" s="466" t="s">
        <v>45</v>
      </c>
      <c r="D4" s="465" t="s">
        <v>48</v>
      </c>
      <c r="E4" s="465"/>
      <c r="F4" s="465" t="s">
        <v>41</v>
      </c>
      <c r="G4" s="465"/>
      <c r="H4" s="10"/>
      <c r="I4" s="15"/>
      <c r="J4" s="10"/>
    </row>
    <row r="5" spans="1:10" ht="58.5" customHeight="1">
      <c r="A5" s="461"/>
      <c r="B5" s="472"/>
      <c r="C5" s="466"/>
      <c r="D5" s="95" t="s">
        <v>49</v>
      </c>
      <c r="E5" s="95" t="s">
        <v>50</v>
      </c>
      <c r="F5" s="95" t="s">
        <v>49</v>
      </c>
      <c r="G5" s="304" t="s">
        <v>50</v>
      </c>
      <c r="H5" s="12"/>
      <c r="I5" s="8"/>
      <c r="J5" s="10"/>
    </row>
    <row r="6" spans="1:13" s="5" customFormat="1" ht="14.25" customHeight="1">
      <c r="A6" s="198" t="s">
        <v>51</v>
      </c>
      <c r="B6" s="248">
        <v>3</v>
      </c>
      <c r="C6" s="248">
        <v>4</v>
      </c>
      <c r="D6" s="248">
        <v>5</v>
      </c>
      <c r="E6" s="248">
        <v>6</v>
      </c>
      <c r="F6" s="248">
        <v>7</v>
      </c>
      <c r="G6" s="234">
        <v>8</v>
      </c>
      <c r="H6" s="9"/>
      <c r="I6" s="9"/>
      <c r="J6" s="14"/>
      <c r="K6" s="6"/>
      <c r="L6" s="6"/>
      <c r="M6" s="6"/>
    </row>
    <row r="7" spans="1:7" s="5" customFormat="1" ht="20.25" customHeight="1">
      <c r="A7" s="408"/>
      <c r="B7" s="438" t="s">
        <v>912</v>
      </c>
      <c r="C7" s="248"/>
      <c r="D7" s="248"/>
      <c r="E7" s="248"/>
      <c r="F7" s="248"/>
      <c r="G7" s="234"/>
    </row>
    <row r="8" spans="1:13" ht="66.75" customHeight="1">
      <c r="A8" s="234">
        <v>1</v>
      </c>
      <c r="B8" s="133" t="s">
        <v>481</v>
      </c>
      <c r="C8" s="133" t="s">
        <v>594</v>
      </c>
      <c r="D8" s="133"/>
      <c r="E8" s="234">
        <f>E72</f>
        <v>1</v>
      </c>
      <c r="F8" s="510"/>
      <c r="G8" s="527"/>
      <c r="H8" s="1"/>
      <c r="I8" s="27">
        <f aca="true" t="shared" si="0" ref="I8:I23">G8</f>
        <v>0</v>
      </c>
      <c r="J8" s="1"/>
      <c r="K8" s="1"/>
      <c r="L8" s="1"/>
      <c r="M8" s="1"/>
    </row>
    <row r="9" spans="1:13" ht="23.25" customHeight="1">
      <c r="A9" s="181"/>
      <c r="B9" s="91" t="s">
        <v>312</v>
      </c>
      <c r="C9" s="91" t="s">
        <v>44</v>
      </c>
      <c r="D9" s="91">
        <f>1.15*7</f>
        <v>8.049999999999999</v>
      </c>
      <c r="E9" s="121">
        <f>D9*E8</f>
        <v>8.049999999999999</v>
      </c>
      <c r="F9" s="532"/>
      <c r="G9" s="573"/>
      <c r="H9" s="1"/>
      <c r="I9" s="27">
        <f t="shared" si="0"/>
        <v>0</v>
      </c>
      <c r="J9" s="8">
        <f>G9</f>
        <v>0</v>
      </c>
      <c r="K9" s="1"/>
      <c r="L9" s="1"/>
      <c r="M9" s="1"/>
    </row>
    <row r="10" spans="1:13" ht="21" customHeight="1">
      <c r="A10" s="181"/>
      <c r="B10" s="91" t="s">
        <v>313</v>
      </c>
      <c r="C10" s="91" t="s">
        <v>54</v>
      </c>
      <c r="D10" s="91">
        <f>1.15*0.74</f>
        <v>0.851</v>
      </c>
      <c r="E10" s="86">
        <f>D10*E8</f>
        <v>0.851</v>
      </c>
      <c r="F10" s="516"/>
      <c r="G10" s="537"/>
      <c r="H10" s="1"/>
      <c r="I10" s="27">
        <f t="shared" si="0"/>
        <v>0</v>
      </c>
      <c r="J10" s="1"/>
      <c r="K10" s="1"/>
      <c r="L10" s="1"/>
      <c r="M10" s="1"/>
    </row>
    <row r="11" spans="1:13" ht="21.75" customHeight="1">
      <c r="A11" s="181"/>
      <c r="B11" s="91" t="s">
        <v>56</v>
      </c>
      <c r="C11" s="91" t="s">
        <v>54</v>
      </c>
      <c r="D11" s="91">
        <v>9.67</v>
      </c>
      <c r="E11" s="86">
        <f>E8*D11</f>
        <v>9.67</v>
      </c>
      <c r="F11" s="516"/>
      <c r="G11" s="537"/>
      <c r="H11" s="1"/>
      <c r="I11" s="27">
        <f t="shared" si="0"/>
        <v>0</v>
      </c>
      <c r="J11" s="1"/>
      <c r="K11" s="1"/>
      <c r="L11" s="1"/>
      <c r="M11" s="1"/>
    </row>
    <row r="12" spans="1:9" s="5" customFormat="1" ht="66.75" customHeight="1">
      <c r="A12" s="234">
        <v>2</v>
      </c>
      <c r="B12" s="133" t="s">
        <v>582</v>
      </c>
      <c r="C12" s="133" t="s">
        <v>594</v>
      </c>
      <c r="D12" s="133"/>
      <c r="E12" s="234">
        <v>4</v>
      </c>
      <c r="F12" s="510"/>
      <c r="G12" s="527"/>
      <c r="I12" s="27">
        <f t="shared" si="0"/>
        <v>0</v>
      </c>
    </row>
    <row r="13" spans="1:10" s="4" customFormat="1" ht="20.25" customHeight="1">
      <c r="A13" s="181"/>
      <c r="B13" s="91" t="s">
        <v>216</v>
      </c>
      <c r="C13" s="91" t="s">
        <v>44</v>
      </c>
      <c r="D13" s="91">
        <f>1.15*3.17</f>
        <v>3.6454999999999997</v>
      </c>
      <c r="E13" s="86">
        <f>E12*D13</f>
        <v>14.581999999999999</v>
      </c>
      <c r="F13" s="532"/>
      <c r="G13" s="573"/>
      <c r="I13" s="27">
        <f t="shared" si="0"/>
        <v>0</v>
      </c>
      <c r="J13" s="53">
        <f>G13</f>
        <v>0</v>
      </c>
    </row>
    <row r="14" spans="1:9" s="4" customFormat="1" ht="27.75" customHeight="1">
      <c r="A14" s="181"/>
      <c r="B14" s="91" t="s">
        <v>56</v>
      </c>
      <c r="C14" s="91" t="s">
        <v>54</v>
      </c>
      <c r="D14" s="114">
        <v>0.238</v>
      </c>
      <c r="E14" s="86">
        <f>E12*D14</f>
        <v>0.952</v>
      </c>
      <c r="F14" s="516"/>
      <c r="G14" s="537"/>
      <c r="I14" s="27">
        <f t="shared" si="0"/>
        <v>0</v>
      </c>
    </row>
    <row r="15" spans="1:9" s="5" customFormat="1" ht="30.75" customHeight="1">
      <c r="A15" s="198" t="s">
        <v>112</v>
      </c>
      <c r="B15" s="133" t="s">
        <v>215</v>
      </c>
      <c r="C15" s="133" t="s">
        <v>594</v>
      </c>
      <c r="D15" s="133"/>
      <c r="E15" s="234">
        <v>64</v>
      </c>
      <c r="F15" s="510"/>
      <c r="G15" s="527"/>
      <c r="I15" s="27">
        <f t="shared" si="0"/>
        <v>0</v>
      </c>
    </row>
    <row r="16" spans="1:10" s="33" customFormat="1" ht="22.5" customHeight="1">
      <c r="A16" s="181"/>
      <c r="B16" s="91" t="s">
        <v>217</v>
      </c>
      <c r="C16" s="91" t="s">
        <v>44</v>
      </c>
      <c r="D16" s="91">
        <f>1.15*0.604</f>
        <v>0.6945999999999999</v>
      </c>
      <c r="E16" s="122">
        <f>E15*D16</f>
        <v>44.45439999999999</v>
      </c>
      <c r="F16" s="532"/>
      <c r="G16" s="574"/>
      <c r="I16" s="27">
        <f t="shared" si="0"/>
        <v>0</v>
      </c>
      <c r="J16" s="53">
        <f>G16</f>
        <v>0</v>
      </c>
    </row>
    <row r="17" spans="1:9" s="33" customFormat="1" ht="18.75" customHeight="1">
      <c r="A17" s="181"/>
      <c r="B17" s="91" t="s">
        <v>56</v>
      </c>
      <c r="C17" s="91" t="s">
        <v>54</v>
      </c>
      <c r="D17" s="113">
        <v>0.114</v>
      </c>
      <c r="E17" s="122">
        <f>E15*D17</f>
        <v>7.296</v>
      </c>
      <c r="F17" s="563"/>
      <c r="G17" s="575"/>
      <c r="I17" s="27">
        <f t="shared" si="0"/>
        <v>0</v>
      </c>
    </row>
    <row r="18" spans="1:9" s="5" customFormat="1" ht="44.25" customHeight="1">
      <c r="A18" s="198" t="s">
        <v>113</v>
      </c>
      <c r="B18" s="133" t="s">
        <v>463</v>
      </c>
      <c r="C18" s="133" t="s">
        <v>594</v>
      </c>
      <c r="D18" s="133"/>
      <c r="E18" s="234">
        <v>2</v>
      </c>
      <c r="F18" s="510"/>
      <c r="G18" s="527"/>
      <c r="I18" s="27">
        <f t="shared" si="0"/>
        <v>0</v>
      </c>
    </row>
    <row r="19" spans="1:10" s="30" customFormat="1" ht="22.5" customHeight="1">
      <c r="A19" s="181"/>
      <c r="B19" s="91" t="s">
        <v>218</v>
      </c>
      <c r="C19" s="91" t="s">
        <v>44</v>
      </c>
      <c r="D19" s="91">
        <f>1.15*0.882</f>
        <v>1.0143</v>
      </c>
      <c r="E19" s="122">
        <f>E18*D19</f>
        <v>2.0286</v>
      </c>
      <c r="F19" s="532"/>
      <c r="G19" s="574"/>
      <c r="I19" s="27">
        <f t="shared" si="0"/>
        <v>0</v>
      </c>
      <c r="J19" s="53">
        <f>G19</f>
        <v>0</v>
      </c>
    </row>
    <row r="20" spans="1:9" s="33" customFormat="1" ht="24" customHeight="1">
      <c r="A20" s="181"/>
      <c r="B20" s="91" t="s">
        <v>56</v>
      </c>
      <c r="C20" s="91" t="s">
        <v>54</v>
      </c>
      <c r="D20" s="113">
        <v>0.108</v>
      </c>
      <c r="E20" s="122">
        <f>E18*D20</f>
        <v>0.216</v>
      </c>
      <c r="F20" s="563"/>
      <c r="G20" s="575"/>
      <c r="I20" s="27">
        <f t="shared" si="0"/>
        <v>0</v>
      </c>
    </row>
    <row r="21" spans="1:9" s="5" customFormat="1" ht="36.75" customHeight="1">
      <c r="A21" s="198" t="s">
        <v>71</v>
      </c>
      <c r="B21" s="133" t="s">
        <v>851</v>
      </c>
      <c r="C21" s="133" t="s">
        <v>594</v>
      </c>
      <c r="D21" s="133"/>
      <c r="E21" s="234">
        <v>10</v>
      </c>
      <c r="F21" s="510"/>
      <c r="G21" s="527"/>
      <c r="I21" s="27">
        <f t="shared" si="0"/>
        <v>0</v>
      </c>
    </row>
    <row r="22" spans="1:10" s="33" customFormat="1" ht="18.75" customHeight="1">
      <c r="A22" s="181"/>
      <c r="B22" s="91" t="s">
        <v>219</v>
      </c>
      <c r="C22" s="91" t="s">
        <v>44</v>
      </c>
      <c r="D22" s="91">
        <f>1.15*0.566</f>
        <v>0.6508999999999999</v>
      </c>
      <c r="E22" s="122">
        <f>E21*D22</f>
        <v>6.5089999999999995</v>
      </c>
      <c r="F22" s="532"/>
      <c r="G22" s="574"/>
      <c r="I22" s="27">
        <f t="shared" si="0"/>
        <v>0</v>
      </c>
      <c r="J22" s="53">
        <f>G22</f>
        <v>0</v>
      </c>
    </row>
    <row r="23" spans="1:9" s="33" customFormat="1" ht="22.5" customHeight="1">
      <c r="A23" s="181"/>
      <c r="B23" s="91" t="s">
        <v>56</v>
      </c>
      <c r="C23" s="91" t="s">
        <v>54</v>
      </c>
      <c r="D23" s="113">
        <v>0.524</v>
      </c>
      <c r="E23" s="122">
        <f>E21*D23</f>
        <v>5.24</v>
      </c>
      <c r="F23" s="563"/>
      <c r="G23" s="575"/>
      <c r="I23" s="27">
        <f t="shared" si="0"/>
        <v>0</v>
      </c>
    </row>
    <row r="24" spans="1:9" s="5" customFormat="1" ht="40.5" customHeight="1">
      <c r="A24" s="198" t="s">
        <v>75</v>
      </c>
      <c r="B24" s="133" t="s">
        <v>482</v>
      </c>
      <c r="C24" s="133" t="s">
        <v>594</v>
      </c>
      <c r="D24" s="199"/>
      <c r="E24" s="200">
        <v>12</v>
      </c>
      <c r="F24" s="506"/>
      <c r="G24" s="530"/>
      <c r="I24" s="27" t="e">
        <f>#REF!</f>
        <v>#REF!</v>
      </c>
    </row>
    <row r="25" spans="1:10" s="33" customFormat="1" ht="22.5" customHeight="1">
      <c r="A25" s="181"/>
      <c r="B25" s="91" t="s">
        <v>411</v>
      </c>
      <c r="C25" s="91" t="s">
        <v>44</v>
      </c>
      <c r="D25" s="113">
        <v>1.9205</v>
      </c>
      <c r="E25" s="122">
        <f>E24*D25</f>
        <v>23.046</v>
      </c>
      <c r="F25" s="576"/>
      <c r="G25" s="574"/>
      <c r="I25" s="27" t="e">
        <f>#REF!</f>
        <v>#REF!</v>
      </c>
      <c r="J25" s="53" t="e">
        <f>#REF!</f>
        <v>#REF!</v>
      </c>
    </row>
    <row r="26" spans="1:9" s="5" customFormat="1" ht="23.25" customHeight="1">
      <c r="A26" s="181"/>
      <c r="B26" s="91" t="s">
        <v>136</v>
      </c>
      <c r="C26" s="91" t="s">
        <v>54</v>
      </c>
      <c r="D26" s="113">
        <v>0.132</v>
      </c>
      <c r="E26" s="122">
        <f>E24*D26</f>
        <v>1.584</v>
      </c>
      <c r="F26" s="563"/>
      <c r="G26" s="575"/>
      <c r="I26" s="27">
        <f>G33</f>
        <v>0</v>
      </c>
    </row>
    <row r="27" spans="1:10" s="4" customFormat="1" ht="42.75" customHeight="1">
      <c r="A27" s="198" t="s">
        <v>76</v>
      </c>
      <c r="B27" s="133" t="s">
        <v>420</v>
      </c>
      <c r="C27" s="133" t="s">
        <v>594</v>
      </c>
      <c r="D27" s="199"/>
      <c r="E27" s="200">
        <v>138</v>
      </c>
      <c r="F27" s="506"/>
      <c r="G27" s="530"/>
      <c r="I27" s="27">
        <f>G34</f>
        <v>0</v>
      </c>
      <c r="J27" s="53">
        <f>G34</f>
        <v>0</v>
      </c>
    </row>
    <row r="28" spans="1:9" s="4" customFormat="1" ht="22.5" customHeight="1">
      <c r="A28" s="181"/>
      <c r="B28" s="91" t="s">
        <v>411</v>
      </c>
      <c r="C28" s="91" t="s">
        <v>44</v>
      </c>
      <c r="D28" s="113">
        <v>1.9205</v>
      </c>
      <c r="E28" s="122">
        <f>E27*D28</f>
        <v>265.029</v>
      </c>
      <c r="F28" s="576"/>
      <c r="G28" s="574"/>
      <c r="I28" s="27">
        <f>G35</f>
        <v>0</v>
      </c>
    </row>
    <row r="29" spans="1:9" s="5" customFormat="1" ht="24" customHeight="1">
      <c r="A29" s="181"/>
      <c r="B29" s="91" t="s">
        <v>136</v>
      </c>
      <c r="C29" s="91" t="s">
        <v>54</v>
      </c>
      <c r="D29" s="113">
        <v>0.132</v>
      </c>
      <c r="E29" s="122">
        <f>E27*D29</f>
        <v>18.216</v>
      </c>
      <c r="F29" s="563"/>
      <c r="G29" s="575"/>
      <c r="I29" s="27">
        <f>G36</f>
        <v>0</v>
      </c>
    </row>
    <row r="30" spans="1:15" s="4" customFormat="1" ht="51.75" customHeight="1">
      <c r="A30" s="198" t="s">
        <v>126</v>
      </c>
      <c r="B30" s="133" t="s">
        <v>412</v>
      </c>
      <c r="C30" s="133" t="s">
        <v>594</v>
      </c>
      <c r="D30" s="199"/>
      <c r="E30" s="200">
        <v>10</v>
      </c>
      <c r="F30" s="506"/>
      <c r="G30" s="530"/>
      <c r="H30" s="6"/>
      <c r="I30" s="27">
        <f aca="true" t="shared" si="1" ref="I30:I40">G57</f>
        <v>0</v>
      </c>
      <c r="J30" s="6"/>
      <c r="K30" s="6"/>
      <c r="L30" s="6"/>
      <c r="M30" s="6"/>
      <c r="N30" s="6"/>
      <c r="O30" s="6"/>
    </row>
    <row r="31" spans="1:15" s="4" customFormat="1" ht="24" customHeight="1">
      <c r="A31" s="181"/>
      <c r="B31" s="91" t="s">
        <v>413</v>
      </c>
      <c r="C31" s="91" t="s">
        <v>44</v>
      </c>
      <c r="D31" s="113">
        <v>0.7992</v>
      </c>
      <c r="E31" s="122">
        <f>E30*D31</f>
        <v>7.992</v>
      </c>
      <c r="F31" s="576"/>
      <c r="G31" s="574"/>
      <c r="H31" s="2"/>
      <c r="I31" s="27">
        <f t="shared" si="1"/>
        <v>0</v>
      </c>
      <c r="J31" s="53">
        <f>G58</f>
        <v>0</v>
      </c>
      <c r="K31" s="2"/>
      <c r="L31" s="2"/>
      <c r="M31" s="2"/>
      <c r="N31" s="2"/>
      <c r="O31" s="2"/>
    </row>
    <row r="32" spans="1:15" s="6" customFormat="1" ht="25.5" customHeight="1">
      <c r="A32" s="181"/>
      <c r="B32" s="91" t="s">
        <v>136</v>
      </c>
      <c r="C32" s="91" t="s">
        <v>54</v>
      </c>
      <c r="D32" s="113">
        <v>0.073</v>
      </c>
      <c r="E32" s="122">
        <f>D32*E30</f>
        <v>0.73</v>
      </c>
      <c r="F32" s="563"/>
      <c r="G32" s="575"/>
      <c r="H32" s="2"/>
      <c r="I32" s="27">
        <f t="shared" si="1"/>
        <v>0</v>
      </c>
      <c r="J32" s="2"/>
      <c r="K32" s="2"/>
      <c r="L32" s="2"/>
      <c r="M32" s="2"/>
      <c r="N32" s="2"/>
      <c r="O32" s="2"/>
    </row>
    <row r="33" spans="1:15" s="2" customFormat="1" ht="40.5" customHeight="1">
      <c r="A33" s="234">
        <v>9</v>
      </c>
      <c r="B33" s="133" t="s">
        <v>417</v>
      </c>
      <c r="C33" s="133" t="s">
        <v>594</v>
      </c>
      <c r="D33" s="133"/>
      <c r="E33" s="234">
        <v>20</v>
      </c>
      <c r="F33" s="510"/>
      <c r="G33" s="527"/>
      <c r="H33" s="55"/>
      <c r="I33" s="27">
        <f t="shared" si="1"/>
        <v>0</v>
      </c>
      <c r="J33" s="56"/>
      <c r="K33" s="56"/>
      <c r="L33" s="5"/>
      <c r="M33" s="5"/>
      <c r="N33" s="5"/>
      <c r="O33" s="5"/>
    </row>
    <row r="34" spans="1:15" s="2" customFormat="1" ht="23.25" customHeight="1">
      <c r="A34" s="181"/>
      <c r="B34" s="91" t="s">
        <v>221</v>
      </c>
      <c r="C34" s="91" t="s">
        <v>44</v>
      </c>
      <c r="D34" s="91">
        <f>1.15*0.192</f>
        <v>0.2208</v>
      </c>
      <c r="E34" s="86">
        <f>E33*D34</f>
        <v>4.416</v>
      </c>
      <c r="F34" s="532"/>
      <c r="G34" s="573"/>
      <c r="H34" s="8"/>
      <c r="I34" s="27">
        <f t="shared" si="1"/>
        <v>0</v>
      </c>
      <c r="J34" s="57">
        <f>G61</f>
        <v>0</v>
      </c>
      <c r="K34" s="26"/>
      <c r="L34" s="4"/>
      <c r="M34" s="4"/>
      <c r="N34" s="4"/>
      <c r="O34" s="4"/>
    </row>
    <row r="35" spans="1:15" s="5" customFormat="1" ht="27.75" customHeight="1">
      <c r="A35" s="181"/>
      <c r="B35" s="91" t="s">
        <v>56</v>
      </c>
      <c r="C35" s="91" t="s">
        <v>54</v>
      </c>
      <c r="D35" s="112">
        <v>0.0266</v>
      </c>
      <c r="E35" s="86">
        <f>E33*D35</f>
        <v>0.532</v>
      </c>
      <c r="F35" s="516"/>
      <c r="G35" s="537"/>
      <c r="H35" s="8"/>
      <c r="I35" s="27">
        <f t="shared" si="1"/>
        <v>0</v>
      </c>
      <c r="J35" s="8"/>
      <c r="K35" s="15"/>
      <c r="L35" s="2"/>
      <c r="M35" s="2"/>
      <c r="N35" s="2"/>
      <c r="O35" s="2"/>
    </row>
    <row r="36" spans="1:15" s="4" customFormat="1" ht="39" customHeight="1">
      <c r="A36" s="234">
        <v>10</v>
      </c>
      <c r="B36" s="133" t="s">
        <v>418</v>
      </c>
      <c r="C36" s="133" t="s">
        <v>594</v>
      </c>
      <c r="D36" s="133"/>
      <c r="E36" s="234">
        <v>22</v>
      </c>
      <c r="F36" s="510"/>
      <c r="G36" s="527"/>
      <c r="H36" s="8"/>
      <c r="I36" s="27">
        <f t="shared" si="1"/>
        <v>0</v>
      </c>
      <c r="J36" s="8"/>
      <c r="K36" s="15"/>
      <c r="L36" s="2"/>
      <c r="M36" s="2"/>
      <c r="N36" s="2"/>
      <c r="O36" s="2"/>
    </row>
    <row r="37" spans="1:11" s="4" customFormat="1" ht="22.5" customHeight="1">
      <c r="A37" s="181"/>
      <c r="B37" s="91" t="s">
        <v>221</v>
      </c>
      <c r="C37" s="91" t="s">
        <v>44</v>
      </c>
      <c r="D37" s="91">
        <f>1.15*0.192</f>
        <v>0.2208</v>
      </c>
      <c r="E37" s="86">
        <f>E36*D37</f>
        <v>4.8576</v>
      </c>
      <c r="F37" s="532"/>
      <c r="G37" s="573"/>
      <c r="H37" s="8"/>
      <c r="I37" s="27">
        <f t="shared" si="1"/>
        <v>0</v>
      </c>
      <c r="J37" s="57"/>
      <c r="K37" s="26"/>
    </row>
    <row r="38" spans="1:15" s="6" customFormat="1" ht="28.5" customHeight="1">
      <c r="A38" s="181"/>
      <c r="B38" s="91" t="s">
        <v>56</v>
      </c>
      <c r="C38" s="91" t="s">
        <v>54</v>
      </c>
      <c r="D38" s="112">
        <v>0.0266</v>
      </c>
      <c r="E38" s="86">
        <f>E36*D38</f>
        <v>0.5851999999999999</v>
      </c>
      <c r="F38" s="516"/>
      <c r="G38" s="537"/>
      <c r="H38" s="55"/>
      <c r="I38" s="27">
        <f t="shared" si="1"/>
        <v>0</v>
      </c>
      <c r="J38" s="56"/>
      <c r="K38" s="56"/>
      <c r="L38" s="5"/>
      <c r="M38" s="5"/>
      <c r="N38" s="5"/>
      <c r="O38" s="5"/>
    </row>
    <row r="39" spans="1:11" s="2" customFormat="1" ht="50.25" customHeight="1">
      <c r="A39" s="234">
        <v>11</v>
      </c>
      <c r="B39" s="133" t="s">
        <v>464</v>
      </c>
      <c r="C39" s="133" t="s">
        <v>53</v>
      </c>
      <c r="D39" s="133"/>
      <c r="E39" s="234">
        <v>66</v>
      </c>
      <c r="F39" s="510"/>
      <c r="G39" s="527"/>
      <c r="H39" s="8"/>
      <c r="I39" s="27">
        <f t="shared" si="1"/>
        <v>0</v>
      </c>
      <c r="J39" s="8">
        <f>G66</f>
        <v>0</v>
      </c>
      <c r="K39" s="15"/>
    </row>
    <row r="40" spans="1:15" s="2" customFormat="1" ht="30.75" customHeight="1">
      <c r="A40" s="181"/>
      <c r="B40" s="91" t="s">
        <v>58</v>
      </c>
      <c r="C40" s="91" t="s">
        <v>44</v>
      </c>
      <c r="D40" s="91">
        <v>0.192</v>
      </c>
      <c r="E40" s="86">
        <f>E39*D40</f>
        <v>12.672</v>
      </c>
      <c r="F40" s="532"/>
      <c r="G40" s="573"/>
      <c r="H40" s="8"/>
      <c r="I40" s="27">
        <f t="shared" si="1"/>
        <v>0</v>
      </c>
      <c r="J40" s="57"/>
      <c r="K40" s="26"/>
      <c r="L40" s="4"/>
      <c r="M40" s="4"/>
      <c r="N40" s="4"/>
      <c r="O40" s="4"/>
    </row>
    <row r="41" spans="1:11" s="4" customFormat="1" ht="23.25" customHeight="1">
      <c r="A41" s="181"/>
      <c r="B41" s="91" t="s">
        <v>136</v>
      </c>
      <c r="C41" s="91" t="s">
        <v>54</v>
      </c>
      <c r="D41" s="112">
        <v>0.0234</v>
      </c>
      <c r="E41" s="86">
        <f>E39*D41</f>
        <v>1.5444</v>
      </c>
      <c r="F41" s="516"/>
      <c r="G41" s="537"/>
      <c r="H41" s="8"/>
      <c r="I41" s="27">
        <f>G69</f>
        <v>0</v>
      </c>
      <c r="J41" s="57"/>
      <c r="K41" s="26"/>
    </row>
    <row r="42" spans="1:15" s="2" customFormat="1" ht="39" customHeight="1">
      <c r="A42" s="234">
        <v>12</v>
      </c>
      <c r="B42" s="133" t="s">
        <v>483</v>
      </c>
      <c r="C42" s="133" t="s">
        <v>53</v>
      </c>
      <c r="D42" s="133"/>
      <c r="E42" s="234">
        <v>30</v>
      </c>
      <c r="F42" s="510"/>
      <c r="G42" s="527"/>
      <c r="H42" s="1"/>
      <c r="I42" s="27" t="e">
        <f>#REF!</f>
        <v>#REF!</v>
      </c>
      <c r="J42" s="1"/>
      <c r="K42" s="1"/>
      <c r="L42" s="1"/>
      <c r="M42" s="1"/>
      <c r="N42" s="1"/>
      <c r="O42" s="1"/>
    </row>
    <row r="43" spans="1:15" s="2" customFormat="1" ht="26.25" customHeight="1">
      <c r="A43" s="181"/>
      <c r="B43" s="91" t="s">
        <v>58</v>
      </c>
      <c r="C43" s="91" t="s">
        <v>44</v>
      </c>
      <c r="D43" s="91">
        <v>0.192</v>
      </c>
      <c r="E43" s="86">
        <f>E42*D43</f>
        <v>5.76</v>
      </c>
      <c r="F43" s="532"/>
      <c r="G43" s="573"/>
      <c r="H43" s="1"/>
      <c r="I43" s="27" t="e">
        <f>#REF!</f>
        <v>#REF!</v>
      </c>
      <c r="J43" s="8" t="e">
        <f>#REF!</f>
        <v>#REF!</v>
      </c>
      <c r="K43" s="1"/>
      <c r="L43" s="1"/>
      <c r="M43" s="1"/>
      <c r="N43" s="1"/>
      <c r="O43" s="1"/>
    </row>
    <row r="44" spans="1:15" s="4" customFormat="1" ht="27" customHeight="1">
      <c r="A44" s="181"/>
      <c r="B44" s="91" t="s">
        <v>136</v>
      </c>
      <c r="C44" s="91" t="s">
        <v>54</v>
      </c>
      <c r="D44" s="112">
        <v>0.0234</v>
      </c>
      <c r="E44" s="86">
        <f>E42*D44</f>
        <v>0.7020000000000001</v>
      </c>
      <c r="F44" s="516"/>
      <c r="G44" s="537"/>
      <c r="H44" s="1"/>
      <c r="I44" s="27" t="e">
        <f>#REF!</f>
        <v>#REF!</v>
      </c>
      <c r="J44" s="1"/>
      <c r="K44" s="1"/>
      <c r="L44" s="1"/>
      <c r="M44" s="1"/>
      <c r="N44" s="1"/>
      <c r="O44" s="1"/>
    </row>
    <row r="45" spans="1:15" s="5" customFormat="1" ht="53.25" customHeight="1">
      <c r="A45" s="198" t="s">
        <v>123</v>
      </c>
      <c r="B45" s="133" t="s">
        <v>583</v>
      </c>
      <c r="C45" s="199" t="s">
        <v>53</v>
      </c>
      <c r="D45" s="133"/>
      <c r="E45" s="234">
        <v>11</v>
      </c>
      <c r="F45" s="510"/>
      <c r="G45" s="527"/>
      <c r="H45" s="1"/>
      <c r="I45" s="27" t="e">
        <f>#REF!</f>
        <v>#REF!</v>
      </c>
      <c r="J45" s="1"/>
      <c r="K45" s="1"/>
      <c r="L45" s="1"/>
      <c r="M45" s="1"/>
      <c r="N45" s="1"/>
      <c r="O45" s="1"/>
    </row>
    <row r="46" spans="1:15" s="2" customFormat="1" ht="25.5" customHeight="1">
      <c r="A46" s="181"/>
      <c r="B46" s="91" t="s">
        <v>220</v>
      </c>
      <c r="C46" s="91" t="s">
        <v>44</v>
      </c>
      <c r="D46" s="91">
        <f>1.15*1.52</f>
        <v>1.7479999999999998</v>
      </c>
      <c r="E46" s="122">
        <f>E45*D46</f>
        <v>19.227999999999998</v>
      </c>
      <c r="F46" s="532"/>
      <c r="G46" s="533"/>
      <c r="H46" s="10"/>
      <c r="I46" s="27" t="e">
        <f>#REF!</f>
        <v>#REF!</v>
      </c>
      <c r="J46" s="3"/>
      <c r="K46" s="3"/>
      <c r="L46" s="3"/>
      <c r="M46" s="3"/>
      <c r="N46" s="3"/>
      <c r="O46" s="3"/>
    </row>
    <row r="47" spans="1:15" s="4" customFormat="1" ht="25.5" customHeight="1">
      <c r="A47" s="181"/>
      <c r="B47" s="91" t="s">
        <v>56</v>
      </c>
      <c r="C47" s="91" t="s">
        <v>54</v>
      </c>
      <c r="D47" s="113">
        <v>0.82</v>
      </c>
      <c r="E47" s="122">
        <f>E45*D47</f>
        <v>9.02</v>
      </c>
      <c r="F47" s="563"/>
      <c r="G47" s="517"/>
      <c r="H47" s="10"/>
      <c r="I47" s="27" t="e">
        <f>#REF!</f>
        <v>#REF!</v>
      </c>
      <c r="J47" s="8" t="e">
        <f>#REF!</f>
        <v>#REF!</v>
      </c>
      <c r="K47" s="3"/>
      <c r="L47" s="3"/>
      <c r="M47" s="3"/>
      <c r="N47" s="3"/>
      <c r="O47" s="3"/>
    </row>
    <row r="48" spans="1:15" s="4" customFormat="1" ht="47.25" customHeight="1">
      <c r="A48" s="198" t="s">
        <v>144</v>
      </c>
      <c r="B48" s="133" t="s">
        <v>419</v>
      </c>
      <c r="C48" s="133" t="s">
        <v>61</v>
      </c>
      <c r="D48" s="133"/>
      <c r="E48" s="234">
        <v>20</v>
      </c>
      <c r="F48" s="510"/>
      <c r="G48" s="527"/>
      <c r="H48" s="10"/>
      <c r="I48" s="27" t="e">
        <f>#REF!</f>
        <v>#REF!</v>
      </c>
      <c r="J48" s="3"/>
      <c r="K48" s="3"/>
      <c r="L48" s="3"/>
      <c r="M48" s="3"/>
      <c r="N48" s="3"/>
      <c r="O48" s="3"/>
    </row>
    <row r="49" spans="1:15" s="4" customFormat="1" ht="30" customHeight="1">
      <c r="A49" s="181"/>
      <c r="B49" s="91" t="s">
        <v>414</v>
      </c>
      <c r="C49" s="91" t="s">
        <v>44</v>
      </c>
      <c r="D49" s="91">
        <v>0.552</v>
      </c>
      <c r="E49" s="86">
        <f>E48*D49</f>
        <v>11.040000000000001</v>
      </c>
      <c r="F49" s="532"/>
      <c r="G49" s="573"/>
      <c r="H49" s="8"/>
      <c r="I49" s="27" t="e">
        <f>#REF!</f>
        <v>#REF!</v>
      </c>
      <c r="J49" s="3"/>
      <c r="K49" s="3"/>
      <c r="L49" s="3"/>
      <c r="M49" s="3"/>
      <c r="N49" s="3"/>
      <c r="O49" s="3"/>
    </row>
    <row r="50" spans="1:10" ht="22.5" customHeight="1">
      <c r="A50" s="181"/>
      <c r="B50" s="91" t="s">
        <v>136</v>
      </c>
      <c r="C50" s="91" t="s">
        <v>54</v>
      </c>
      <c r="D50" s="112">
        <v>0.0227</v>
      </c>
      <c r="E50" s="86">
        <f>E48*D50</f>
        <v>0.454</v>
      </c>
      <c r="F50" s="516"/>
      <c r="G50" s="537"/>
      <c r="H50" s="9"/>
      <c r="I50" s="27" t="e">
        <f>#REF!</f>
        <v>#REF!</v>
      </c>
      <c r="J50" s="7" t="e">
        <f>#REF!</f>
        <v>#REF!</v>
      </c>
    </row>
    <row r="51" spans="1:15" ht="61.5" customHeight="1">
      <c r="A51" s="198" t="s">
        <v>97</v>
      </c>
      <c r="B51" s="133" t="s">
        <v>584</v>
      </c>
      <c r="C51" s="133" t="s">
        <v>61</v>
      </c>
      <c r="D51" s="133"/>
      <c r="E51" s="234">
        <v>2000</v>
      </c>
      <c r="F51" s="510"/>
      <c r="G51" s="527"/>
      <c r="H51" s="2"/>
      <c r="I51" s="27" t="e">
        <f>#REF!</f>
        <v>#REF!</v>
      </c>
      <c r="J51" s="2"/>
      <c r="K51" s="2"/>
      <c r="L51" s="2"/>
      <c r="M51" s="2"/>
      <c r="N51" s="2"/>
      <c r="O51" s="2"/>
    </row>
    <row r="52" spans="1:9" ht="21" customHeight="1">
      <c r="A52" s="181"/>
      <c r="B52" s="91" t="s">
        <v>222</v>
      </c>
      <c r="C52" s="91" t="s">
        <v>44</v>
      </c>
      <c r="D52" s="91">
        <f>1.15*0.139</f>
        <v>0.15985</v>
      </c>
      <c r="E52" s="86">
        <f>E51*D52</f>
        <v>319.7</v>
      </c>
      <c r="F52" s="532"/>
      <c r="G52" s="573"/>
      <c r="H52" s="8"/>
      <c r="I52" s="27" t="e">
        <f>#REF!</f>
        <v>#REF!</v>
      </c>
    </row>
    <row r="53" spans="1:15" ht="24.75" customHeight="1">
      <c r="A53" s="181"/>
      <c r="B53" s="91" t="s">
        <v>56</v>
      </c>
      <c r="C53" s="91" t="s">
        <v>54</v>
      </c>
      <c r="D53" s="112">
        <v>0.0097</v>
      </c>
      <c r="E53" s="86">
        <f>E51*D53</f>
        <v>19.400000000000002</v>
      </c>
      <c r="F53" s="516"/>
      <c r="G53" s="537"/>
      <c r="H53" s="18" t="e">
        <f>SUM(I8:I52)/2</f>
        <v>#REF!</v>
      </c>
      <c r="I53" s="46"/>
      <c r="J53" s="44"/>
      <c r="K53" s="44"/>
      <c r="L53" s="44"/>
      <c r="M53" s="44"/>
      <c r="N53" s="44"/>
      <c r="O53" s="44"/>
    </row>
    <row r="54" spans="1:15" s="3" customFormat="1" ht="56.25" customHeight="1">
      <c r="A54" s="198" t="s">
        <v>91</v>
      </c>
      <c r="B54" s="133" t="s">
        <v>484</v>
      </c>
      <c r="C54" s="133" t="s">
        <v>61</v>
      </c>
      <c r="D54" s="133"/>
      <c r="E54" s="234">
        <v>2900</v>
      </c>
      <c r="F54" s="510"/>
      <c r="G54" s="527"/>
      <c r="H54" s="32"/>
      <c r="I54" s="32"/>
      <c r="J54" s="32"/>
      <c r="K54" s="32"/>
      <c r="L54" s="32"/>
      <c r="M54" s="32"/>
      <c r="N54" s="32"/>
      <c r="O54" s="32"/>
    </row>
    <row r="55" spans="1:15" ht="24.75" customHeight="1">
      <c r="A55" s="181"/>
      <c r="B55" s="91" t="s">
        <v>222</v>
      </c>
      <c r="C55" s="91" t="s">
        <v>44</v>
      </c>
      <c r="D55" s="91">
        <f>1.15*0.139</f>
        <v>0.15985</v>
      </c>
      <c r="E55" s="86">
        <f>E54*D55</f>
        <v>463.565</v>
      </c>
      <c r="F55" s="532"/>
      <c r="G55" s="573"/>
      <c r="H55" s="2"/>
      <c r="I55" s="2"/>
      <c r="J55" s="2"/>
      <c r="K55" s="2"/>
      <c r="L55" s="2"/>
      <c r="M55" s="2"/>
      <c r="N55" s="2"/>
      <c r="O55" s="2"/>
    </row>
    <row r="56" spans="1:7" s="2" customFormat="1" ht="24.75" customHeight="1">
      <c r="A56" s="181"/>
      <c r="B56" s="91" t="s">
        <v>56</v>
      </c>
      <c r="C56" s="91" t="s">
        <v>54</v>
      </c>
      <c r="D56" s="112">
        <v>0.0097</v>
      </c>
      <c r="E56" s="86">
        <f>E54*D56</f>
        <v>28.130000000000003</v>
      </c>
      <c r="F56" s="516"/>
      <c r="G56" s="537"/>
    </row>
    <row r="57" spans="1:15" s="38" customFormat="1" ht="55.5" customHeight="1">
      <c r="A57" s="198" t="s">
        <v>81</v>
      </c>
      <c r="B57" s="133" t="s">
        <v>585</v>
      </c>
      <c r="C57" s="133" t="s">
        <v>61</v>
      </c>
      <c r="D57" s="133"/>
      <c r="E57" s="234">
        <v>60</v>
      </c>
      <c r="F57" s="510"/>
      <c r="G57" s="527"/>
      <c r="H57" s="2"/>
      <c r="I57" s="2"/>
      <c r="J57" s="2"/>
      <c r="K57" s="2"/>
      <c r="L57" s="2"/>
      <c r="M57" s="2"/>
      <c r="N57" s="2"/>
      <c r="O57" s="2"/>
    </row>
    <row r="58" spans="1:15" s="4" customFormat="1" ht="21" customHeight="1">
      <c r="A58" s="181"/>
      <c r="B58" s="91" t="s">
        <v>223</v>
      </c>
      <c r="C58" s="91" t="s">
        <v>44</v>
      </c>
      <c r="D58" s="91">
        <f>1.15*0.219</f>
        <v>0.25184999999999996</v>
      </c>
      <c r="E58" s="86">
        <f>E57*D58</f>
        <v>15.110999999999997</v>
      </c>
      <c r="F58" s="532"/>
      <c r="G58" s="573"/>
      <c r="H58" s="421"/>
      <c r="I58" s="244" t="s">
        <v>42</v>
      </c>
      <c r="J58" s="105" t="s">
        <v>409</v>
      </c>
      <c r="K58" s="105" t="s">
        <v>53</v>
      </c>
      <c r="L58" s="237">
        <v>1</v>
      </c>
      <c r="M58" s="238">
        <v>32</v>
      </c>
      <c r="N58" s="250"/>
      <c r="O58" s="222"/>
    </row>
    <row r="59" spans="1:15" s="4" customFormat="1" ht="24" customHeight="1">
      <c r="A59" s="181"/>
      <c r="B59" s="91" t="s">
        <v>56</v>
      </c>
      <c r="C59" s="91" t="s">
        <v>54</v>
      </c>
      <c r="D59" s="112">
        <v>0.221</v>
      </c>
      <c r="E59" s="86">
        <f>E57*D59</f>
        <v>13.26</v>
      </c>
      <c r="F59" s="516"/>
      <c r="G59" s="537"/>
      <c r="H59" s="2"/>
      <c r="I59" s="2"/>
      <c r="J59" s="2"/>
      <c r="K59" s="2"/>
      <c r="L59" s="2"/>
      <c r="M59" s="2"/>
      <c r="N59" s="2"/>
      <c r="O59" s="2"/>
    </row>
    <row r="60" spans="1:15" s="4" customFormat="1" ht="50.25" customHeight="1">
      <c r="A60" s="234">
        <v>18</v>
      </c>
      <c r="B60" s="133" t="s">
        <v>416</v>
      </c>
      <c r="C60" s="133" t="s">
        <v>53</v>
      </c>
      <c r="D60" s="133"/>
      <c r="E60" s="234">
        <v>4</v>
      </c>
      <c r="F60" s="510"/>
      <c r="G60" s="511"/>
      <c r="H60" s="32"/>
      <c r="I60" s="32"/>
      <c r="J60" s="32"/>
      <c r="K60" s="32"/>
      <c r="L60" s="32"/>
      <c r="M60" s="32"/>
      <c r="N60" s="32"/>
      <c r="O60" s="32"/>
    </row>
    <row r="61" spans="1:15" s="33" customFormat="1" ht="24.75" customHeight="1">
      <c r="A61" s="181"/>
      <c r="B61" s="91" t="s">
        <v>224</v>
      </c>
      <c r="C61" s="91" t="s">
        <v>44</v>
      </c>
      <c r="D61" s="91">
        <f>1.15*0.59</f>
        <v>0.6784999999999999</v>
      </c>
      <c r="E61" s="86">
        <f>E60*D61</f>
        <v>2.7139999999999995</v>
      </c>
      <c r="F61" s="532"/>
      <c r="G61" s="577"/>
      <c r="H61" s="2"/>
      <c r="I61" s="2"/>
      <c r="J61" s="2"/>
      <c r="K61" s="2"/>
      <c r="L61" s="2"/>
      <c r="M61" s="2"/>
      <c r="N61" s="2"/>
      <c r="O61" s="2"/>
    </row>
    <row r="62" spans="1:16" s="4" customFormat="1" ht="21" customHeight="1">
      <c r="A62" s="181"/>
      <c r="B62" s="91" t="s">
        <v>225</v>
      </c>
      <c r="C62" s="87" t="s">
        <v>62</v>
      </c>
      <c r="D62" s="91">
        <f>1.15*0.12</f>
        <v>0.13799999999999998</v>
      </c>
      <c r="E62" s="86">
        <f>E60*D62</f>
        <v>0.5519999999999999</v>
      </c>
      <c r="F62" s="516"/>
      <c r="G62" s="578"/>
      <c r="H62" s="2"/>
      <c r="I62" s="2"/>
      <c r="J62" s="2"/>
      <c r="K62" s="2"/>
      <c r="L62" s="2"/>
      <c r="M62" s="2"/>
      <c r="N62" s="2"/>
      <c r="O62" s="2"/>
      <c r="P62" s="4" t="s">
        <v>879</v>
      </c>
    </row>
    <row r="63" spans="1:15" s="4" customFormat="1" ht="23.25" customHeight="1">
      <c r="A63" s="181"/>
      <c r="B63" s="91" t="s">
        <v>226</v>
      </c>
      <c r="C63" s="87" t="s">
        <v>62</v>
      </c>
      <c r="D63" s="91">
        <f>1.15*0.45</f>
        <v>0.5175</v>
      </c>
      <c r="E63" s="86">
        <f>E60*D63</f>
        <v>2.07</v>
      </c>
      <c r="F63" s="516"/>
      <c r="G63" s="578"/>
      <c r="H63" s="2"/>
      <c r="I63" s="2"/>
      <c r="J63" s="2"/>
      <c r="K63" s="2"/>
      <c r="L63" s="2"/>
      <c r="M63" s="2"/>
      <c r="N63" s="2"/>
      <c r="O63" s="2"/>
    </row>
    <row r="64" spans="1:15" s="4" customFormat="1" ht="23.25" customHeight="1">
      <c r="A64" s="181"/>
      <c r="B64" s="91" t="s">
        <v>143</v>
      </c>
      <c r="C64" s="91" t="s">
        <v>54</v>
      </c>
      <c r="D64" s="91">
        <f>1.15*0.06</f>
        <v>0.06899999999999999</v>
      </c>
      <c r="E64" s="86">
        <f>E60*D64</f>
        <v>0.27599999999999997</v>
      </c>
      <c r="F64" s="516"/>
      <c r="G64" s="578"/>
      <c r="H64" s="33"/>
      <c r="I64" s="33"/>
      <c r="J64" s="33"/>
      <c r="K64" s="33"/>
      <c r="L64" s="33"/>
      <c r="M64" s="33"/>
      <c r="N64" s="33"/>
      <c r="O64" s="33"/>
    </row>
    <row r="65" spans="1:15" s="2" customFormat="1" ht="38.25" customHeight="1">
      <c r="A65" s="234">
        <v>19</v>
      </c>
      <c r="B65" s="133" t="s">
        <v>415</v>
      </c>
      <c r="C65" s="133" t="s">
        <v>61</v>
      </c>
      <c r="D65" s="133"/>
      <c r="E65" s="234">
        <v>10</v>
      </c>
      <c r="F65" s="510"/>
      <c r="G65" s="511"/>
      <c r="H65" s="11"/>
      <c r="I65" s="7"/>
      <c r="J65" s="8"/>
      <c r="K65" s="3"/>
      <c r="L65" s="3"/>
      <c r="M65" s="3"/>
      <c r="N65" s="1"/>
      <c r="O65" s="1"/>
    </row>
    <row r="66" spans="1:15" s="2" customFormat="1" ht="21.75" customHeight="1">
      <c r="A66" s="181"/>
      <c r="B66" s="91" t="s">
        <v>227</v>
      </c>
      <c r="C66" s="91" t="s">
        <v>44</v>
      </c>
      <c r="D66" s="91">
        <f>1.15*1.32</f>
        <v>1.518</v>
      </c>
      <c r="E66" s="116">
        <f>D66*E65</f>
        <v>15.18</v>
      </c>
      <c r="F66" s="532"/>
      <c r="G66" s="577"/>
      <c r="H66" s="11"/>
      <c r="I66" s="7"/>
      <c r="J66" s="8" t="e">
        <f>SUM(J8:J65)</f>
        <v>#REF!</v>
      </c>
      <c r="K66" s="3"/>
      <c r="L66" s="3"/>
      <c r="M66" s="3"/>
      <c r="N66" s="1"/>
      <c r="O66" s="1"/>
    </row>
    <row r="67" spans="1:15" s="32" customFormat="1" ht="22.5" customHeight="1">
      <c r="A67" s="181"/>
      <c r="B67" s="91" t="s">
        <v>228</v>
      </c>
      <c r="C67" s="87" t="s">
        <v>62</v>
      </c>
      <c r="D67" s="91">
        <f>1.15*0.0035</f>
        <v>0.004025</v>
      </c>
      <c r="E67" s="114">
        <f>E65*D67</f>
        <v>0.04025</v>
      </c>
      <c r="F67" s="516"/>
      <c r="G67" s="578"/>
      <c r="H67" s="11"/>
      <c r="I67" s="25"/>
      <c r="J67" s="3"/>
      <c r="K67" s="3"/>
      <c r="L67" s="3"/>
      <c r="M67" s="3"/>
      <c r="N67" s="1"/>
      <c r="O67" s="1"/>
    </row>
    <row r="68" spans="1:15" s="32" customFormat="1" ht="28.5" customHeight="1">
      <c r="A68" s="181"/>
      <c r="B68" s="91" t="s">
        <v>229</v>
      </c>
      <c r="C68" s="91" t="s">
        <v>54</v>
      </c>
      <c r="D68" s="91">
        <f>1.15*0.123</f>
        <v>0.14145</v>
      </c>
      <c r="E68" s="116">
        <f>E65*D68</f>
        <v>1.4144999999999999</v>
      </c>
      <c r="F68" s="516"/>
      <c r="G68" s="578"/>
      <c r="H68" s="19"/>
      <c r="I68" s="18"/>
      <c r="J68" s="23"/>
      <c r="K68" s="23"/>
      <c r="L68" s="23"/>
      <c r="M68" s="23"/>
      <c r="N68" s="24"/>
      <c r="O68" s="24"/>
    </row>
    <row r="69" spans="1:15" s="32" customFormat="1" ht="22.5" customHeight="1">
      <c r="A69" s="181"/>
      <c r="B69" s="91" t="s">
        <v>56</v>
      </c>
      <c r="C69" s="91" t="s">
        <v>54</v>
      </c>
      <c r="D69" s="91">
        <v>0.0052</v>
      </c>
      <c r="E69" s="86">
        <f>E65*D69</f>
        <v>0.052</v>
      </c>
      <c r="F69" s="516"/>
      <c r="G69" s="578"/>
      <c r="H69" s="11"/>
      <c r="I69" s="7"/>
      <c r="J69" s="3"/>
      <c r="K69" s="3"/>
      <c r="L69" s="3"/>
      <c r="M69" s="3"/>
      <c r="N69" s="1"/>
      <c r="O69" s="1"/>
    </row>
    <row r="70" spans="1:15" s="2" customFormat="1" ht="26.25" customHeight="1">
      <c r="A70" s="198"/>
      <c r="B70" s="431" t="s">
        <v>913</v>
      </c>
      <c r="C70" s="133"/>
      <c r="D70" s="199"/>
      <c r="E70" s="200"/>
      <c r="F70" s="506"/>
      <c r="G70" s="507"/>
      <c r="H70" s="11"/>
      <c r="I70" s="7"/>
      <c r="J70" s="3"/>
      <c r="K70" s="3"/>
      <c r="L70" s="3"/>
      <c r="M70" s="3"/>
      <c r="N70" s="1"/>
      <c r="O70" s="1"/>
    </row>
    <row r="71" spans="1:255" s="2" customFormat="1" ht="27.75" customHeight="1">
      <c r="A71" s="181"/>
      <c r="B71" s="431" t="s">
        <v>914</v>
      </c>
      <c r="C71" s="91"/>
      <c r="D71" s="113"/>
      <c r="E71" s="122"/>
      <c r="F71" s="519"/>
      <c r="G71" s="509"/>
      <c r="H71" s="11"/>
      <c r="I71" s="7"/>
      <c r="J71" s="3"/>
      <c r="K71" s="3"/>
      <c r="L71" s="3"/>
      <c r="M71" s="3"/>
      <c r="N71" s="1"/>
      <c r="O71" s="1"/>
      <c r="P71" s="223"/>
      <c r="Q71" s="224"/>
      <c r="R71" s="225"/>
      <c r="S71" s="225"/>
      <c r="T71" s="226"/>
      <c r="U71" s="227"/>
      <c r="V71" s="226"/>
      <c r="W71" s="222"/>
      <c r="X71" s="223"/>
      <c r="Y71" s="224"/>
      <c r="Z71" s="225"/>
      <c r="AA71" s="225"/>
      <c r="AB71" s="226"/>
      <c r="AC71" s="227"/>
      <c r="AD71" s="226"/>
      <c r="AE71" s="222"/>
      <c r="AF71" s="223"/>
      <c r="AG71" s="224"/>
      <c r="AH71" s="225"/>
      <c r="AI71" s="225"/>
      <c r="AJ71" s="226"/>
      <c r="AK71" s="227"/>
      <c r="AL71" s="226"/>
      <c r="AM71" s="222"/>
      <c r="AN71" s="223"/>
      <c r="AO71" s="224"/>
      <c r="AP71" s="225"/>
      <c r="AQ71" s="225"/>
      <c r="AR71" s="226"/>
      <c r="AS71" s="227"/>
      <c r="AT71" s="226"/>
      <c r="AU71" s="222"/>
      <c r="AV71" s="228"/>
      <c r="AW71" s="217"/>
      <c r="AX71" s="218"/>
      <c r="AY71" s="218"/>
      <c r="AZ71" s="219"/>
      <c r="BA71" s="220"/>
      <c r="BB71" s="219"/>
      <c r="BC71" s="221"/>
      <c r="BD71" s="216"/>
      <c r="BE71" s="217"/>
      <c r="BF71" s="218"/>
      <c r="BG71" s="218"/>
      <c r="BH71" s="219"/>
      <c r="BI71" s="220"/>
      <c r="BJ71" s="219"/>
      <c r="BK71" s="221"/>
      <c r="BL71" s="216"/>
      <c r="BM71" s="217"/>
      <c r="BN71" s="218"/>
      <c r="BO71" s="218"/>
      <c r="BP71" s="219"/>
      <c r="BQ71" s="220"/>
      <c r="BR71" s="219"/>
      <c r="BS71" s="221"/>
      <c r="BT71" s="216"/>
      <c r="BU71" s="217"/>
      <c r="BV71" s="218"/>
      <c r="BW71" s="218"/>
      <c r="BX71" s="219"/>
      <c r="BY71" s="220"/>
      <c r="BZ71" s="219"/>
      <c r="CA71" s="221"/>
      <c r="CB71" s="216"/>
      <c r="CC71" s="217"/>
      <c r="CD71" s="218"/>
      <c r="CE71" s="218"/>
      <c r="CF71" s="219"/>
      <c r="CG71" s="220"/>
      <c r="CH71" s="219"/>
      <c r="CI71" s="221"/>
      <c r="CJ71" s="216"/>
      <c r="CK71" s="217"/>
      <c r="CL71" s="218"/>
      <c r="CM71" s="218"/>
      <c r="CN71" s="219"/>
      <c r="CO71" s="220"/>
      <c r="CP71" s="219"/>
      <c r="CQ71" s="221"/>
      <c r="CR71" s="216"/>
      <c r="CS71" s="217"/>
      <c r="CT71" s="218"/>
      <c r="CU71" s="218"/>
      <c r="CV71" s="219"/>
      <c r="CW71" s="220"/>
      <c r="CX71" s="219"/>
      <c r="CY71" s="221"/>
      <c r="CZ71" s="216"/>
      <c r="DA71" s="217"/>
      <c r="DB71" s="218"/>
      <c r="DC71" s="218"/>
      <c r="DD71" s="219"/>
      <c r="DE71" s="220"/>
      <c r="DF71" s="219"/>
      <c r="DG71" s="221"/>
      <c r="DH71" s="216"/>
      <c r="DI71" s="217"/>
      <c r="DJ71" s="218"/>
      <c r="DK71" s="218"/>
      <c r="DL71" s="219"/>
      <c r="DM71" s="220"/>
      <c r="DN71" s="219"/>
      <c r="DO71" s="221"/>
      <c r="DP71" s="216"/>
      <c r="DQ71" s="217"/>
      <c r="DR71" s="218"/>
      <c r="DS71" s="218"/>
      <c r="DT71" s="219"/>
      <c r="DU71" s="220"/>
      <c r="DV71" s="219"/>
      <c r="DW71" s="221"/>
      <c r="DX71" s="216"/>
      <c r="DY71" s="217"/>
      <c r="DZ71" s="218"/>
      <c r="EA71" s="218"/>
      <c r="EB71" s="219"/>
      <c r="EC71" s="220"/>
      <c r="ED71" s="219"/>
      <c r="EE71" s="221"/>
      <c r="EF71" s="216"/>
      <c r="EG71" s="217"/>
      <c r="EH71" s="218"/>
      <c r="EI71" s="218"/>
      <c r="EJ71" s="219"/>
      <c r="EK71" s="220"/>
      <c r="EL71" s="219"/>
      <c r="EM71" s="221"/>
      <c r="EN71" s="216"/>
      <c r="EO71" s="217"/>
      <c r="EP71" s="218"/>
      <c r="EQ71" s="218"/>
      <c r="ER71" s="219"/>
      <c r="ES71" s="220"/>
      <c r="ET71" s="219"/>
      <c r="EU71" s="221"/>
      <c r="EV71" s="216"/>
      <c r="EW71" s="217"/>
      <c r="EX71" s="218"/>
      <c r="EY71" s="218"/>
      <c r="EZ71" s="219"/>
      <c r="FA71" s="220"/>
      <c r="FB71" s="219"/>
      <c r="FC71" s="221"/>
      <c r="FD71" s="216"/>
      <c r="FE71" s="217" t="s">
        <v>42</v>
      </c>
      <c r="FF71" s="218" t="s">
        <v>409</v>
      </c>
      <c r="FG71" s="218" t="s">
        <v>53</v>
      </c>
      <c r="FH71" s="219">
        <v>1</v>
      </c>
      <c r="FI71" s="220">
        <v>32</v>
      </c>
      <c r="FJ71" s="219">
        <v>45</v>
      </c>
      <c r="FK71" s="221">
        <v>1440</v>
      </c>
      <c r="FL71" s="216"/>
      <c r="FM71" s="217" t="s">
        <v>42</v>
      </c>
      <c r="FN71" s="218" t="s">
        <v>409</v>
      </c>
      <c r="FO71" s="218" t="s">
        <v>53</v>
      </c>
      <c r="FP71" s="219">
        <v>1</v>
      </c>
      <c r="FQ71" s="220">
        <v>32</v>
      </c>
      <c r="FR71" s="219">
        <v>45</v>
      </c>
      <c r="FS71" s="221">
        <v>1440</v>
      </c>
      <c r="FT71" s="216"/>
      <c r="FU71" s="217" t="s">
        <v>42</v>
      </c>
      <c r="FV71" s="218" t="s">
        <v>409</v>
      </c>
      <c r="FW71" s="218" t="s">
        <v>53</v>
      </c>
      <c r="FX71" s="219">
        <v>1</v>
      </c>
      <c r="FY71" s="220">
        <v>32</v>
      </c>
      <c r="FZ71" s="219">
        <v>45</v>
      </c>
      <c r="GA71" s="221">
        <v>1440</v>
      </c>
      <c r="GB71" s="216"/>
      <c r="GC71" s="217" t="s">
        <v>42</v>
      </c>
      <c r="GD71" s="218" t="s">
        <v>409</v>
      </c>
      <c r="GE71" s="218" t="s">
        <v>53</v>
      </c>
      <c r="GF71" s="219">
        <v>1</v>
      </c>
      <c r="GG71" s="220">
        <v>32</v>
      </c>
      <c r="GH71" s="219">
        <v>45</v>
      </c>
      <c r="GI71" s="221">
        <v>1440</v>
      </c>
      <c r="GJ71" s="216"/>
      <c r="GK71" s="217" t="s">
        <v>42</v>
      </c>
      <c r="GL71" s="218" t="s">
        <v>409</v>
      </c>
      <c r="GM71" s="218" t="s">
        <v>53</v>
      </c>
      <c r="GN71" s="219">
        <v>1</v>
      </c>
      <c r="GO71" s="220">
        <v>32</v>
      </c>
      <c r="GP71" s="219">
        <v>45</v>
      </c>
      <c r="GQ71" s="221">
        <v>1440</v>
      </c>
      <c r="GR71" s="216"/>
      <c r="GS71" s="217" t="s">
        <v>42</v>
      </c>
      <c r="GT71" s="218" t="s">
        <v>409</v>
      </c>
      <c r="GU71" s="218" t="s">
        <v>53</v>
      </c>
      <c r="GV71" s="219">
        <v>1</v>
      </c>
      <c r="GW71" s="220">
        <v>32</v>
      </c>
      <c r="GX71" s="219">
        <v>45</v>
      </c>
      <c r="GY71" s="221">
        <v>1440</v>
      </c>
      <c r="GZ71" s="216"/>
      <c r="HA71" s="217" t="s">
        <v>42</v>
      </c>
      <c r="HB71" s="218" t="s">
        <v>409</v>
      </c>
      <c r="HC71" s="218" t="s">
        <v>53</v>
      </c>
      <c r="HD71" s="219">
        <v>1</v>
      </c>
      <c r="HE71" s="220">
        <v>32</v>
      </c>
      <c r="HF71" s="219">
        <v>45</v>
      </c>
      <c r="HG71" s="221">
        <v>1440</v>
      </c>
      <c r="HH71" s="216"/>
      <c r="HI71" s="217" t="s">
        <v>42</v>
      </c>
      <c r="HJ71" s="218" t="s">
        <v>409</v>
      </c>
      <c r="HK71" s="218" t="s">
        <v>53</v>
      </c>
      <c r="HL71" s="219">
        <v>1</v>
      </c>
      <c r="HM71" s="220">
        <v>32</v>
      </c>
      <c r="HN71" s="219">
        <v>45</v>
      </c>
      <c r="HO71" s="221">
        <v>1440</v>
      </c>
      <c r="HP71" s="216"/>
      <c r="HQ71" s="217" t="s">
        <v>42</v>
      </c>
      <c r="HR71" s="218" t="s">
        <v>409</v>
      </c>
      <c r="HS71" s="218" t="s">
        <v>53</v>
      </c>
      <c r="HT71" s="219">
        <v>1</v>
      </c>
      <c r="HU71" s="220">
        <v>32</v>
      </c>
      <c r="HV71" s="219">
        <v>45</v>
      </c>
      <c r="HW71" s="221">
        <v>1440</v>
      </c>
      <c r="HX71" s="216"/>
      <c r="HY71" s="217" t="s">
        <v>42</v>
      </c>
      <c r="HZ71" s="218" t="s">
        <v>409</v>
      </c>
      <c r="IA71" s="218" t="s">
        <v>53</v>
      </c>
      <c r="IB71" s="219">
        <v>1</v>
      </c>
      <c r="IC71" s="220">
        <v>32</v>
      </c>
      <c r="ID71" s="219">
        <v>45</v>
      </c>
      <c r="IE71" s="221">
        <v>1440</v>
      </c>
      <c r="IF71" s="216"/>
      <c r="IG71" s="217" t="s">
        <v>42</v>
      </c>
      <c r="IH71" s="218" t="s">
        <v>409</v>
      </c>
      <c r="II71" s="218" t="s">
        <v>53</v>
      </c>
      <c r="IJ71" s="219">
        <v>1</v>
      </c>
      <c r="IK71" s="220">
        <v>32</v>
      </c>
      <c r="IL71" s="219">
        <v>45</v>
      </c>
      <c r="IM71" s="221">
        <v>1440</v>
      </c>
      <c r="IN71" s="216"/>
      <c r="IO71" s="217" t="s">
        <v>42</v>
      </c>
      <c r="IP71" s="218" t="s">
        <v>409</v>
      </c>
      <c r="IQ71" s="218" t="s">
        <v>53</v>
      </c>
      <c r="IR71" s="219">
        <v>1</v>
      </c>
      <c r="IS71" s="220">
        <v>32</v>
      </c>
      <c r="IT71" s="219">
        <v>45</v>
      </c>
      <c r="IU71" s="221">
        <v>1440</v>
      </c>
    </row>
    <row r="72" spans="1:15" s="2" customFormat="1" ht="18.75" customHeight="1">
      <c r="A72" s="181" t="s">
        <v>51</v>
      </c>
      <c r="B72" s="91" t="s">
        <v>310</v>
      </c>
      <c r="C72" s="91" t="s">
        <v>151</v>
      </c>
      <c r="D72" s="113"/>
      <c r="E72" s="166">
        <v>1</v>
      </c>
      <c r="F72" s="563"/>
      <c r="G72" s="578"/>
      <c r="H72" s="11"/>
      <c r="I72" s="7"/>
      <c r="J72" s="3"/>
      <c r="K72" s="3"/>
      <c r="L72" s="3"/>
      <c r="M72" s="3"/>
      <c r="N72" s="1"/>
      <c r="O72" s="1"/>
    </row>
    <row r="73" spans="1:15" s="32" customFormat="1" ht="21.75" customHeight="1">
      <c r="A73" s="181" t="s">
        <v>67</v>
      </c>
      <c r="B73" s="91" t="s">
        <v>145</v>
      </c>
      <c r="C73" s="91" t="s">
        <v>53</v>
      </c>
      <c r="D73" s="121"/>
      <c r="E73" s="315">
        <v>4</v>
      </c>
      <c r="F73" s="516"/>
      <c r="G73" s="578"/>
      <c r="H73" s="11"/>
      <c r="I73" s="7"/>
      <c r="J73" s="3"/>
      <c r="K73" s="3"/>
      <c r="L73" s="3"/>
      <c r="M73" s="3"/>
      <c r="N73" s="1"/>
      <c r="O73" s="1"/>
    </row>
    <row r="74" spans="1:15" s="2" customFormat="1" ht="26.25" customHeight="1">
      <c r="A74" s="181" t="s">
        <v>112</v>
      </c>
      <c r="B74" s="91" t="s">
        <v>311</v>
      </c>
      <c r="C74" s="91" t="s">
        <v>151</v>
      </c>
      <c r="D74" s="113"/>
      <c r="E74" s="166">
        <v>64</v>
      </c>
      <c r="F74" s="563"/>
      <c r="G74" s="517"/>
      <c r="H74" s="11"/>
      <c r="I74" s="7"/>
      <c r="J74" s="3"/>
      <c r="K74" s="3"/>
      <c r="L74" s="3"/>
      <c r="M74" s="3"/>
      <c r="N74" s="1"/>
      <c r="O74" s="1"/>
    </row>
    <row r="75" spans="1:15" s="2" customFormat="1" ht="30.75" customHeight="1">
      <c r="A75" s="181" t="s">
        <v>113</v>
      </c>
      <c r="B75" s="91" t="s">
        <v>421</v>
      </c>
      <c r="C75" s="91" t="s">
        <v>151</v>
      </c>
      <c r="D75" s="113"/>
      <c r="E75" s="166">
        <v>2</v>
      </c>
      <c r="F75" s="563"/>
      <c r="G75" s="517"/>
      <c r="H75" s="11"/>
      <c r="I75" s="7"/>
      <c r="J75" s="3"/>
      <c r="K75" s="3"/>
      <c r="L75" s="3"/>
      <c r="M75" s="3"/>
      <c r="N75" s="1"/>
      <c r="O75" s="1"/>
    </row>
    <row r="76" spans="1:15" s="33" customFormat="1" ht="24" customHeight="1">
      <c r="A76" s="181" t="s">
        <v>71</v>
      </c>
      <c r="B76" s="91" t="s">
        <v>586</v>
      </c>
      <c r="C76" s="91" t="s">
        <v>151</v>
      </c>
      <c r="D76" s="113"/>
      <c r="E76" s="166">
        <v>10</v>
      </c>
      <c r="F76" s="563"/>
      <c r="G76" s="517"/>
      <c r="H76" s="11"/>
      <c r="I76" s="7"/>
      <c r="J76" s="3"/>
      <c r="K76" s="3"/>
      <c r="L76" s="3"/>
      <c r="M76" s="3"/>
      <c r="N76" s="1"/>
      <c r="O76" s="1"/>
    </row>
    <row r="77" spans="1:15" s="44" customFormat="1" ht="27.75" customHeight="1">
      <c r="A77" s="181" t="s">
        <v>75</v>
      </c>
      <c r="B77" s="91" t="s">
        <v>444</v>
      </c>
      <c r="C77" s="91" t="s">
        <v>53</v>
      </c>
      <c r="D77" s="113"/>
      <c r="E77" s="122">
        <v>138</v>
      </c>
      <c r="F77" s="563"/>
      <c r="G77" s="517"/>
      <c r="H77" s="11"/>
      <c r="I77" s="7"/>
      <c r="J77" s="3"/>
      <c r="K77" s="3"/>
      <c r="L77" s="3"/>
      <c r="M77" s="3"/>
      <c r="N77" s="1"/>
      <c r="O77" s="1"/>
    </row>
    <row r="78" spans="1:7" ht="26.25" customHeight="1">
      <c r="A78" s="181" t="s">
        <v>76</v>
      </c>
      <c r="B78" s="91" t="s">
        <v>485</v>
      </c>
      <c r="C78" s="91" t="s">
        <v>53</v>
      </c>
      <c r="D78" s="113"/>
      <c r="E78" s="122">
        <v>12</v>
      </c>
      <c r="F78" s="563"/>
      <c r="G78" s="517"/>
    </row>
    <row r="79" spans="1:7" ht="27.75" customHeight="1">
      <c r="A79" s="181" t="s">
        <v>126</v>
      </c>
      <c r="B79" s="91" t="s">
        <v>410</v>
      </c>
      <c r="C79" s="91" t="s">
        <v>53</v>
      </c>
      <c r="D79" s="113"/>
      <c r="E79" s="122">
        <v>10</v>
      </c>
      <c r="F79" s="563"/>
      <c r="G79" s="517"/>
    </row>
    <row r="80" spans="1:7" ht="24.75" customHeight="1">
      <c r="A80" s="181" t="s">
        <v>121</v>
      </c>
      <c r="B80" s="91" t="s">
        <v>146</v>
      </c>
      <c r="C80" s="91" t="s">
        <v>53</v>
      </c>
      <c r="D80" s="113"/>
      <c r="E80" s="166">
        <v>30</v>
      </c>
      <c r="F80" s="563"/>
      <c r="G80" s="517"/>
    </row>
    <row r="81" spans="1:15" s="24" customFormat="1" ht="21.75" customHeight="1">
      <c r="A81" s="181" t="s">
        <v>122</v>
      </c>
      <c r="B81" s="91" t="s">
        <v>147</v>
      </c>
      <c r="C81" s="91" t="s">
        <v>151</v>
      </c>
      <c r="D81" s="113"/>
      <c r="E81" s="166">
        <v>20</v>
      </c>
      <c r="F81" s="563"/>
      <c r="G81" s="517"/>
      <c r="H81" s="11"/>
      <c r="I81" s="7"/>
      <c r="J81" s="3"/>
      <c r="K81" s="3"/>
      <c r="L81" s="3"/>
      <c r="M81" s="3"/>
      <c r="N81" s="1"/>
      <c r="O81" s="1"/>
    </row>
    <row r="82" spans="1:7" ht="20.25" customHeight="1">
      <c r="A82" s="181" t="s">
        <v>152</v>
      </c>
      <c r="B82" s="91" t="s">
        <v>148</v>
      </c>
      <c r="C82" s="91" t="s">
        <v>151</v>
      </c>
      <c r="D82" s="113"/>
      <c r="E82" s="166">
        <v>22</v>
      </c>
      <c r="F82" s="563"/>
      <c r="G82" s="517"/>
    </row>
    <row r="83" spans="1:7" ht="32.25" customHeight="1">
      <c r="A83" s="181" t="s">
        <v>189</v>
      </c>
      <c r="B83" s="91" t="s">
        <v>149</v>
      </c>
      <c r="C83" s="91" t="s">
        <v>151</v>
      </c>
      <c r="D83" s="113"/>
      <c r="E83" s="166">
        <v>66</v>
      </c>
      <c r="F83" s="563"/>
      <c r="G83" s="517"/>
    </row>
    <row r="84" spans="1:21" s="3" customFormat="1" ht="31.5" customHeight="1">
      <c r="A84" s="181" t="s">
        <v>123</v>
      </c>
      <c r="B84" s="91" t="s">
        <v>486</v>
      </c>
      <c r="C84" s="91" t="s">
        <v>53</v>
      </c>
      <c r="D84" s="113"/>
      <c r="E84" s="166">
        <v>1</v>
      </c>
      <c r="F84" s="563"/>
      <c r="G84" s="517"/>
      <c r="H84" s="11"/>
      <c r="I84" s="7"/>
      <c r="N84" s="1"/>
      <c r="O84" s="1"/>
      <c r="P84" s="1"/>
      <c r="Q84" s="1"/>
      <c r="R84" s="1"/>
      <c r="S84" s="1"/>
      <c r="T84" s="1"/>
      <c r="U84" s="1"/>
    </row>
    <row r="85" spans="1:7" ht="26.25" customHeight="1">
      <c r="A85" s="181" t="s">
        <v>144</v>
      </c>
      <c r="B85" s="91" t="s">
        <v>422</v>
      </c>
      <c r="C85" s="91" t="s">
        <v>53</v>
      </c>
      <c r="D85" s="113"/>
      <c r="E85" s="166">
        <v>5</v>
      </c>
      <c r="F85" s="563"/>
      <c r="G85" s="517"/>
    </row>
    <row r="86" spans="1:21" s="3" customFormat="1" ht="17.25" customHeight="1">
      <c r="A86" s="181" t="s">
        <v>97</v>
      </c>
      <c r="B86" s="91" t="s">
        <v>423</v>
      </c>
      <c r="C86" s="91" t="s">
        <v>53</v>
      </c>
      <c r="D86" s="113"/>
      <c r="E86" s="166">
        <v>4</v>
      </c>
      <c r="F86" s="563"/>
      <c r="G86" s="517"/>
      <c r="H86" s="11"/>
      <c r="I86" s="7"/>
      <c r="N86" s="1"/>
      <c r="O86" s="1"/>
      <c r="P86" s="1"/>
      <c r="Q86" s="1"/>
      <c r="R86" s="1"/>
      <c r="S86" s="1"/>
      <c r="T86" s="1"/>
      <c r="U86" s="1"/>
    </row>
    <row r="87" spans="1:7" ht="18.75" customHeight="1">
      <c r="A87" s="181" t="s">
        <v>91</v>
      </c>
      <c r="B87" s="91" t="s">
        <v>424</v>
      </c>
      <c r="C87" s="91" t="s">
        <v>53</v>
      </c>
      <c r="D87" s="113"/>
      <c r="E87" s="166">
        <v>21</v>
      </c>
      <c r="F87" s="563"/>
      <c r="G87" s="517"/>
    </row>
    <row r="88" spans="1:7" ht="18.75" customHeight="1">
      <c r="A88" s="181" t="s">
        <v>81</v>
      </c>
      <c r="B88" s="91" t="s">
        <v>487</v>
      </c>
      <c r="C88" s="91" t="s">
        <v>53</v>
      </c>
      <c r="D88" s="113"/>
      <c r="E88" s="166">
        <v>2</v>
      </c>
      <c r="F88" s="563"/>
      <c r="G88" s="517"/>
    </row>
    <row r="89" spans="1:7" ht="21.75" customHeight="1">
      <c r="A89" s="181" t="s">
        <v>160</v>
      </c>
      <c r="B89" s="91" t="s">
        <v>425</v>
      </c>
      <c r="C89" s="91" t="s">
        <v>61</v>
      </c>
      <c r="D89" s="113"/>
      <c r="E89" s="166">
        <v>2000</v>
      </c>
      <c r="F89" s="563"/>
      <c r="G89" s="517"/>
    </row>
    <row r="90" spans="1:7" ht="20.25" customHeight="1">
      <c r="A90" s="181" t="s">
        <v>237</v>
      </c>
      <c r="B90" s="91" t="s">
        <v>426</v>
      </c>
      <c r="C90" s="91" t="s">
        <v>61</v>
      </c>
      <c r="D90" s="113"/>
      <c r="E90" s="166">
        <v>2500</v>
      </c>
      <c r="F90" s="563"/>
      <c r="G90" s="517"/>
    </row>
    <row r="91" spans="1:7" ht="24" customHeight="1">
      <c r="A91" s="181" t="s">
        <v>243</v>
      </c>
      <c r="B91" s="91" t="s">
        <v>427</v>
      </c>
      <c r="C91" s="91" t="s">
        <v>61</v>
      </c>
      <c r="D91" s="113"/>
      <c r="E91" s="166">
        <v>400</v>
      </c>
      <c r="F91" s="563"/>
      <c r="G91" s="517"/>
    </row>
    <row r="92" spans="1:7" ht="24" customHeight="1">
      <c r="A92" s="181" t="s">
        <v>124</v>
      </c>
      <c r="B92" s="91" t="s">
        <v>428</v>
      </c>
      <c r="C92" s="91" t="s">
        <v>61</v>
      </c>
      <c r="D92" s="208"/>
      <c r="E92" s="83">
        <v>60</v>
      </c>
      <c r="F92" s="516"/>
      <c r="G92" s="517"/>
    </row>
    <row r="93" spans="1:7" ht="23.25" customHeight="1">
      <c r="A93" s="181" t="s">
        <v>92</v>
      </c>
      <c r="B93" s="91" t="s">
        <v>213</v>
      </c>
      <c r="C93" s="91" t="s">
        <v>61</v>
      </c>
      <c r="D93" s="116"/>
      <c r="E93" s="121">
        <v>12</v>
      </c>
      <c r="F93" s="516"/>
      <c r="G93" s="578"/>
    </row>
    <row r="94" spans="1:7" ht="19.5" customHeight="1">
      <c r="A94" s="181" t="s">
        <v>170</v>
      </c>
      <c r="B94" s="91" t="s">
        <v>214</v>
      </c>
      <c r="C94" s="91" t="s">
        <v>61</v>
      </c>
      <c r="D94" s="91"/>
      <c r="E94" s="121">
        <v>10</v>
      </c>
      <c r="F94" s="516"/>
      <c r="G94" s="578"/>
    </row>
    <row r="95" spans="1:7" ht="31.5" customHeight="1">
      <c r="A95" s="181" t="s">
        <v>125</v>
      </c>
      <c r="B95" s="91" t="s">
        <v>429</v>
      </c>
      <c r="C95" s="91" t="s">
        <v>61</v>
      </c>
      <c r="D95" s="172"/>
      <c r="E95" s="173">
        <v>20</v>
      </c>
      <c r="F95" s="579"/>
      <c r="G95" s="517"/>
    </row>
    <row r="96" spans="1:7" ht="30.75" customHeight="1">
      <c r="A96" s="181" t="s">
        <v>246</v>
      </c>
      <c r="B96" s="91" t="s">
        <v>320</v>
      </c>
      <c r="C96" s="113" t="s">
        <v>53</v>
      </c>
      <c r="D96" s="113"/>
      <c r="E96" s="166">
        <v>11</v>
      </c>
      <c r="F96" s="563"/>
      <c r="G96" s="517"/>
    </row>
    <row r="97" spans="1:7" ht="32.25" customHeight="1">
      <c r="A97" s="198"/>
      <c r="B97" s="431" t="s">
        <v>908</v>
      </c>
      <c r="C97" s="133"/>
      <c r="D97" s="420"/>
      <c r="E97" s="420"/>
      <c r="F97" s="572"/>
      <c r="G97" s="507"/>
    </row>
    <row r="98" spans="1:7" ht="24" customHeight="1">
      <c r="A98" s="121"/>
      <c r="B98" s="199" t="s">
        <v>185</v>
      </c>
      <c r="C98" s="91" t="s">
        <v>54</v>
      </c>
      <c r="D98" s="91"/>
      <c r="E98" s="86"/>
      <c r="F98" s="516"/>
      <c r="G98" s="507"/>
    </row>
    <row r="99" spans="1:7" ht="26.25" customHeight="1">
      <c r="A99" s="121"/>
      <c r="B99" s="91" t="s">
        <v>70</v>
      </c>
      <c r="C99" s="91" t="s">
        <v>54</v>
      </c>
      <c r="D99" s="91"/>
      <c r="E99" s="86"/>
      <c r="F99" s="532"/>
      <c r="G99" s="533"/>
    </row>
    <row r="100" spans="1:7" ht="30" customHeight="1">
      <c r="A100" s="121"/>
      <c r="B100" s="91" t="s">
        <v>150</v>
      </c>
      <c r="C100" s="91" t="s">
        <v>54</v>
      </c>
      <c r="D100" s="91"/>
      <c r="E100" s="130">
        <v>0.75</v>
      </c>
      <c r="F100" s="532"/>
      <c r="G100" s="533"/>
    </row>
    <row r="101" spans="1:7" ht="27.75" customHeight="1">
      <c r="A101" s="234"/>
      <c r="B101" s="133" t="s">
        <v>55</v>
      </c>
      <c r="C101" s="133" t="s">
        <v>54</v>
      </c>
      <c r="D101" s="133"/>
      <c r="E101" s="133"/>
      <c r="F101" s="510"/>
      <c r="G101" s="507"/>
    </row>
    <row r="102" spans="1:7" ht="28.5" customHeight="1">
      <c r="A102" s="121"/>
      <c r="B102" s="91" t="s">
        <v>69</v>
      </c>
      <c r="C102" s="91" t="s">
        <v>54</v>
      </c>
      <c r="D102" s="91"/>
      <c r="E102" s="130">
        <v>0.08</v>
      </c>
      <c r="F102" s="516"/>
      <c r="G102" s="517"/>
    </row>
    <row r="103" spans="1:7" ht="31.5" customHeight="1">
      <c r="A103" s="121"/>
      <c r="B103" s="133" t="s">
        <v>60</v>
      </c>
      <c r="C103" s="133" t="s">
        <v>54</v>
      </c>
      <c r="D103" s="91"/>
      <c r="E103" s="130"/>
      <c r="F103" s="516"/>
      <c r="G103" s="507"/>
    </row>
    <row r="104" spans="1:7" ht="15.75">
      <c r="A104" s="136"/>
      <c r="B104" s="88"/>
      <c r="C104" s="77"/>
      <c r="D104" s="138"/>
      <c r="E104" s="138"/>
      <c r="F104" s="138"/>
      <c r="G104" s="94"/>
    </row>
    <row r="105" spans="1:7" ht="27" customHeight="1">
      <c r="A105" s="136"/>
      <c r="B105" s="456" t="s">
        <v>915</v>
      </c>
      <c r="C105" s="456"/>
      <c r="D105" s="456"/>
      <c r="E105" s="456"/>
      <c r="F105" s="456"/>
      <c r="G105" s="456"/>
    </row>
    <row r="106" spans="1:7" ht="15.75">
      <c r="A106" s="139"/>
      <c r="B106" s="140"/>
      <c r="C106" s="467"/>
      <c r="D106" s="467"/>
      <c r="E106" s="467"/>
      <c r="F106" s="141"/>
      <c r="G106" s="142"/>
    </row>
    <row r="107" spans="1:7" ht="15.75">
      <c r="A107" s="143"/>
      <c r="B107" s="140"/>
      <c r="C107" s="140"/>
      <c r="D107" s="140"/>
      <c r="E107" s="170"/>
      <c r="F107" s="140"/>
      <c r="G107" s="142"/>
    </row>
  </sheetData>
  <sheetProtection password="CF2D" sheet="1"/>
  <mergeCells count="10">
    <mergeCell ref="C106:E106"/>
    <mergeCell ref="B105:G105"/>
    <mergeCell ref="A4:A5"/>
    <mergeCell ref="A1:G1"/>
    <mergeCell ref="A2:G2"/>
    <mergeCell ref="A3:G3"/>
    <mergeCell ref="B4:B5"/>
    <mergeCell ref="C4:C5"/>
    <mergeCell ref="D4:E4"/>
    <mergeCell ref="F4:G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T90"/>
  <sheetViews>
    <sheetView zoomScalePageLayoutView="0" workbookViewId="0" topLeftCell="A1">
      <selection activeCell="F9" sqref="F9:G48"/>
    </sheetView>
  </sheetViews>
  <sheetFormatPr defaultColWidth="9.140625" defaultRowHeight="12.75"/>
  <cols>
    <col min="1" max="1" width="4.57421875" style="207" customWidth="1"/>
    <col min="2" max="2" width="42.28125" style="204" customWidth="1"/>
    <col min="3" max="3" width="6.7109375" style="205" customWidth="1"/>
    <col min="4" max="4" width="6.7109375" style="31" customWidth="1"/>
    <col min="5" max="5" width="7.140625" style="206" customWidth="1"/>
    <col min="6" max="6" width="9.57421875" style="39" customWidth="1"/>
    <col min="7" max="7" width="12.140625" style="37" customWidth="1"/>
    <col min="8" max="8" width="9.140625" style="30" customWidth="1"/>
    <col min="9" max="9" width="9.421875" style="30" bestFit="1" customWidth="1"/>
    <col min="10" max="10" width="9.140625" style="31" customWidth="1"/>
    <col min="11" max="16384" width="9.140625" style="30" customWidth="1"/>
  </cols>
  <sheetData>
    <row r="1" spans="1:10" s="1" customFormat="1" ht="43.5" customHeight="1">
      <c r="A1" s="483" t="s">
        <v>824</v>
      </c>
      <c r="B1" s="484"/>
      <c r="C1" s="484"/>
      <c r="D1" s="484"/>
      <c r="E1" s="484"/>
      <c r="F1" s="484"/>
      <c r="G1" s="484"/>
      <c r="H1" s="3"/>
      <c r="I1" s="3"/>
      <c r="J1" s="3"/>
    </row>
    <row r="2" spans="1:7" s="1" customFormat="1" ht="18" customHeight="1">
      <c r="A2" s="471" t="s">
        <v>497</v>
      </c>
      <c r="B2" s="471"/>
      <c r="C2" s="471"/>
      <c r="D2" s="471"/>
      <c r="E2" s="471"/>
      <c r="F2" s="471"/>
      <c r="G2" s="471"/>
    </row>
    <row r="3" spans="1:10" s="1" customFormat="1" ht="17.25" customHeight="1">
      <c r="A3" s="470" t="s">
        <v>236</v>
      </c>
      <c r="B3" s="470"/>
      <c r="C3" s="470"/>
      <c r="D3" s="470"/>
      <c r="E3" s="470"/>
      <c r="F3" s="470"/>
      <c r="G3" s="470"/>
      <c r="H3" s="3"/>
      <c r="I3" s="3"/>
      <c r="J3" s="3"/>
    </row>
    <row r="4" spans="1:7" s="1" customFormat="1" ht="16.5" customHeight="1">
      <c r="A4" s="475" t="s">
        <v>394</v>
      </c>
      <c r="B4" s="475"/>
      <c r="C4" s="475"/>
      <c r="D4" s="475"/>
      <c r="E4" s="475"/>
      <c r="F4" s="475"/>
      <c r="G4" s="475"/>
    </row>
    <row r="5" spans="1:7" s="1" customFormat="1" ht="26.25" customHeight="1">
      <c r="A5" s="485" t="s">
        <v>46</v>
      </c>
      <c r="B5" s="472" t="s">
        <v>47</v>
      </c>
      <c r="C5" s="466" t="s">
        <v>45</v>
      </c>
      <c r="D5" s="465" t="s">
        <v>48</v>
      </c>
      <c r="E5" s="465"/>
      <c r="F5" s="465" t="s">
        <v>41</v>
      </c>
      <c r="G5" s="465"/>
    </row>
    <row r="6" spans="1:9" s="1" customFormat="1" ht="60.75" customHeight="1">
      <c r="A6" s="485"/>
      <c r="B6" s="472"/>
      <c r="C6" s="466"/>
      <c r="D6" s="95" t="s">
        <v>49</v>
      </c>
      <c r="E6" s="95" t="s">
        <v>50</v>
      </c>
      <c r="F6" s="95" t="s">
        <v>49</v>
      </c>
      <c r="G6" s="304" t="s">
        <v>50</v>
      </c>
      <c r="I6" s="3"/>
    </row>
    <row r="7" spans="1:7" s="5" customFormat="1" ht="12" customHeight="1">
      <c r="A7" s="408" t="s">
        <v>51</v>
      </c>
      <c r="B7" s="248">
        <v>3</v>
      </c>
      <c r="C7" s="248">
        <v>4</v>
      </c>
      <c r="D7" s="248">
        <v>5</v>
      </c>
      <c r="E7" s="248">
        <v>6</v>
      </c>
      <c r="F7" s="248">
        <v>7</v>
      </c>
      <c r="G7" s="234">
        <v>8</v>
      </c>
    </row>
    <row r="8" spans="1:7" s="5" customFormat="1" ht="21" customHeight="1" hidden="1" thickTop="1">
      <c r="A8" s="408"/>
      <c r="B8" s="248"/>
      <c r="C8" s="248"/>
      <c r="D8" s="248"/>
      <c r="E8" s="248"/>
      <c r="F8" s="248"/>
      <c r="G8" s="234"/>
    </row>
    <row r="9" spans="1:10" s="6" customFormat="1" ht="43.5" customHeight="1">
      <c r="A9" s="234">
        <v>1</v>
      </c>
      <c r="B9" s="133" t="s">
        <v>388</v>
      </c>
      <c r="C9" s="133" t="s">
        <v>95</v>
      </c>
      <c r="D9" s="133"/>
      <c r="E9" s="243">
        <v>1</v>
      </c>
      <c r="F9" s="510"/>
      <c r="G9" s="527"/>
      <c r="H9" s="9"/>
      <c r="I9" s="9"/>
      <c r="J9" s="14"/>
    </row>
    <row r="10" spans="1:10" s="2" customFormat="1" ht="27.75" customHeight="1">
      <c r="A10" s="181"/>
      <c r="B10" s="91" t="s">
        <v>403</v>
      </c>
      <c r="C10" s="91" t="s">
        <v>44</v>
      </c>
      <c r="D10" s="91">
        <v>35.65</v>
      </c>
      <c r="E10" s="86">
        <f>E9*D10</f>
        <v>35.65</v>
      </c>
      <c r="F10" s="532"/>
      <c r="G10" s="573"/>
      <c r="H10" s="8"/>
      <c r="I10" s="9"/>
      <c r="J10" s="8"/>
    </row>
    <row r="11" spans="1:10" s="2" customFormat="1" ht="33" customHeight="1">
      <c r="A11" s="181"/>
      <c r="B11" s="91" t="s">
        <v>442</v>
      </c>
      <c r="C11" s="91" t="s">
        <v>53</v>
      </c>
      <c r="D11" s="208">
        <v>1</v>
      </c>
      <c r="E11" s="86">
        <v>1</v>
      </c>
      <c r="F11" s="536"/>
      <c r="G11" s="578"/>
      <c r="H11" s="8"/>
      <c r="I11" s="9"/>
      <c r="J11" s="8"/>
    </row>
    <row r="12" spans="1:10" s="2" customFormat="1" ht="24" customHeight="1">
      <c r="A12" s="181"/>
      <c r="B12" s="91" t="s">
        <v>401</v>
      </c>
      <c r="C12" s="91" t="s">
        <v>53</v>
      </c>
      <c r="D12" s="208">
        <v>1</v>
      </c>
      <c r="E12" s="86">
        <v>1</v>
      </c>
      <c r="F12" s="536"/>
      <c r="G12" s="517"/>
      <c r="H12" s="8"/>
      <c r="I12" s="9"/>
      <c r="J12" s="8"/>
    </row>
    <row r="13" spans="1:10" s="2" customFormat="1" ht="30" customHeight="1">
      <c r="A13" s="181"/>
      <c r="B13" s="91" t="s">
        <v>408</v>
      </c>
      <c r="C13" s="91" t="s">
        <v>54</v>
      </c>
      <c r="D13" s="114">
        <v>2.88</v>
      </c>
      <c r="E13" s="86">
        <f>E9*D13</f>
        <v>2.88</v>
      </c>
      <c r="F13" s="516"/>
      <c r="G13" s="537"/>
      <c r="H13" s="8"/>
      <c r="I13" s="9"/>
      <c r="J13" s="15"/>
    </row>
    <row r="14" spans="1:10" s="5" customFormat="1" ht="36.75" customHeight="1">
      <c r="A14" s="234">
        <v>2</v>
      </c>
      <c r="B14" s="133" t="s">
        <v>398</v>
      </c>
      <c r="C14" s="133" t="s">
        <v>95</v>
      </c>
      <c r="D14" s="133"/>
      <c r="E14" s="243">
        <v>55</v>
      </c>
      <c r="F14" s="510"/>
      <c r="G14" s="527"/>
      <c r="H14" s="9"/>
      <c r="I14" s="9"/>
      <c r="J14" s="56"/>
    </row>
    <row r="15" spans="1:10" s="4" customFormat="1" ht="23.25" customHeight="1">
      <c r="A15" s="181"/>
      <c r="B15" s="91" t="s">
        <v>404</v>
      </c>
      <c r="C15" s="91" t="s">
        <v>44</v>
      </c>
      <c r="D15" s="91">
        <v>1.15</v>
      </c>
      <c r="E15" s="86">
        <f>E14*D15</f>
        <v>63.24999999999999</v>
      </c>
      <c r="F15" s="532"/>
      <c r="G15" s="573"/>
      <c r="H15" s="8"/>
      <c r="I15" s="9"/>
      <c r="J15" s="57" t="s">
        <v>880</v>
      </c>
    </row>
    <row r="16" spans="1:10" s="4" customFormat="1" ht="24.75" customHeight="1">
      <c r="A16" s="181"/>
      <c r="B16" s="432" t="s">
        <v>916</v>
      </c>
      <c r="C16" s="91" t="s">
        <v>53</v>
      </c>
      <c r="D16" s="172">
        <v>1</v>
      </c>
      <c r="E16" s="122">
        <f>D16*E14</f>
        <v>55</v>
      </c>
      <c r="F16" s="579"/>
      <c r="G16" s="517"/>
      <c r="H16" s="8"/>
      <c r="I16" s="9"/>
      <c r="J16" s="57"/>
    </row>
    <row r="17" spans="1:10" s="4" customFormat="1" ht="24.75" customHeight="1">
      <c r="A17" s="181"/>
      <c r="B17" s="91" t="s">
        <v>400</v>
      </c>
      <c r="C17" s="91" t="s">
        <v>53</v>
      </c>
      <c r="D17" s="172">
        <v>1</v>
      </c>
      <c r="E17" s="122">
        <f>D17*E14</f>
        <v>55</v>
      </c>
      <c r="F17" s="579"/>
      <c r="G17" s="517"/>
      <c r="H17" s="8"/>
      <c r="I17" s="9"/>
      <c r="J17" s="57"/>
    </row>
    <row r="18" spans="1:16" s="4" customFormat="1" ht="20.25" customHeight="1">
      <c r="A18" s="181"/>
      <c r="B18" s="91" t="s">
        <v>408</v>
      </c>
      <c r="C18" s="91" t="s">
        <v>54</v>
      </c>
      <c r="D18" s="112">
        <v>0.09</v>
      </c>
      <c r="E18" s="86">
        <f>E14*D18</f>
        <v>4.95</v>
      </c>
      <c r="F18" s="516"/>
      <c r="G18" s="537"/>
      <c r="H18" s="8"/>
      <c r="I18" s="9"/>
      <c r="J18" s="26"/>
      <c r="P18" s="4" t="s">
        <v>882</v>
      </c>
    </row>
    <row r="19" spans="1:20" s="5" customFormat="1" ht="46.5" customHeight="1">
      <c r="A19" s="234">
        <v>3</v>
      </c>
      <c r="B19" s="133" t="s">
        <v>389</v>
      </c>
      <c r="C19" s="133" t="s">
        <v>53</v>
      </c>
      <c r="D19" s="133"/>
      <c r="E19" s="243">
        <v>12</v>
      </c>
      <c r="F19" s="510"/>
      <c r="G19" s="527"/>
      <c r="H19" s="9"/>
      <c r="I19" s="9"/>
      <c r="J19" s="56"/>
      <c r="T19" s="5" t="s">
        <v>884</v>
      </c>
    </row>
    <row r="20" spans="1:10" s="4" customFormat="1" ht="28.5" customHeight="1">
      <c r="A20" s="181"/>
      <c r="B20" s="91" t="s">
        <v>405</v>
      </c>
      <c r="C20" s="91" t="s">
        <v>44</v>
      </c>
      <c r="D20" s="114">
        <v>2.3</v>
      </c>
      <c r="E20" s="86">
        <f>E19*D20</f>
        <v>27.599999999999998</v>
      </c>
      <c r="F20" s="532"/>
      <c r="G20" s="573"/>
      <c r="H20" s="8"/>
      <c r="I20" s="9"/>
      <c r="J20" s="57"/>
    </row>
    <row r="21" spans="1:18" s="4" customFormat="1" ht="28.5" customHeight="1">
      <c r="A21" s="181"/>
      <c r="B21" s="432" t="s">
        <v>917</v>
      </c>
      <c r="C21" s="91" t="s">
        <v>53</v>
      </c>
      <c r="D21" s="313">
        <v>1</v>
      </c>
      <c r="E21" s="122">
        <f>E19*D21</f>
        <v>12</v>
      </c>
      <c r="F21" s="579"/>
      <c r="G21" s="517"/>
      <c r="H21" s="8"/>
      <c r="I21" s="9"/>
      <c r="J21" s="57"/>
      <c r="R21" s="4" t="s">
        <v>883</v>
      </c>
    </row>
    <row r="22" spans="1:18" s="4" customFormat="1" ht="24" customHeight="1">
      <c r="A22" s="181"/>
      <c r="B22" s="91" t="s">
        <v>408</v>
      </c>
      <c r="C22" s="91" t="s">
        <v>54</v>
      </c>
      <c r="D22" s="114">
        <v>0.14</v>
      </c>
      <c r="E22" s="86">
        <f>E19*D22</f>
        <v>1.6800000000000002</v>
      </c>
      <c r="F22" s="516"/>
      <c r="G22" s="537"/>
      <c r="H22" s="8"/>
      <c r="I22" s="9"/>
      <c r="J22" s="26"/>
      <c r="R22" s="4" t="s">
        <v>881</v>
      </c>
    </row>
    <row r="23" spans="1:10" s="5" customFormat="1" ht="35.25" customHeight="1">
      <c r="A23" s="234">
        <v>4</v>
      </c>
      <c r="B23" s="133" t="s">
        <v>390</v>
      </c>
      <c r="C23" s="133" t="s">
        <v>53</v>
      </c>
      <c r="D23" s="401"/>
      <c r="E23" s="243">
        <v>13</v>
      </c>
      <c r="F23" s="510"/>
      <c r="G23" s="527"/>
      <c r="H23" s="9"/>
      <c r="I23" s="9"/>
      <c r="J23" s="56"/>
    </row>
    <row r="24" spans="1:10" s="4" customFormat="1" ht="21" customHeight="1">
      <c r="A24" s="181"/>
      <c r="B24" s="91" t="s">
        <v>406</v>
      </c>
      <c r="C24" s="91" t="s">
        <v>44</v>
      </c>
      <c r="D24" s="114">
        <v>3.45</v>
      </c>
      <c r="E24" s="86">
        <f>E23*D24</f>
        <v>44.85</v>
      </c>
      <c r="F24" s="532"/>
      <c r="G24" s="573"/>
      <c r="H24" s="8"/>
      <c r="I24" s="9"/>
      <c r="J24" s="57"/>
    </row>
    <row r="25" spans="1:10" s="4" customFormat="1" ht="14.25" customHeight="1">
      <c r="A25" s="181"/>
      <c r="B25" s="91" t="s">
        <v>399</v>
      </c>
      <c r="C25" s="91" t="s">
        <v>53</v>
      </c>
      <c r="D25" s="313">
        <v>1</v>
      </c>
      <c r="E25" s="122">
        <f>D25*E23</f>
        <v>13</v>
      </c>
      <c r="F25" s="579"/>
      <c r="G25" s="517"/>
      <c r="H25" s="8"/>
      <c r="I25" s="9"/>
      <c r="J25" s="57"/>
    </row>
    <row r="26" spans="1:10" s="4" customFormat="1" ht="20.25" customHeight="1">
      <c r="A26" s="181"/>
      <c r="B26" s="91" t="s">
        <v>408</v>
      </c>
      <c r="C26" s="91" t="s">
        <v>54</v>
      </c>
      <c r="D26" s="114">
        <v>0.14</v>
      </c>
      <c r="E26" s="86">
        <f>E23*D26</f>
        <v>1.8200000000000003</v>
      </c>
      <c r="F26" s="516"/>
      <c r="G26" s="537"/>
      <c r="H26" s="8"/>
      <c r="I26" s="9"/>
      <c r="J26" s="26"/>
    </row>
    <row r="27" spans="1:10" s="5" customFormat="1" ht="39.75" customHeight="1">
      <c r="A27" s="234">
        <v>5</v>
      </c>
      <c r="B27" s="133" t="s">
        <v>402</v>
      </c>
      <c r="C27" s="133" t="s">
        <v>53</v>
      </c>
      <c r="D27" s="401"/>
      <c r="E27" s="243">
        <v>10</v>
      </c>
      <c r="F27" s="510"/>
      <c r="G27" s="527"/>
      <c r="H27" s="9"/>
      <c r="I27" s="9"/>
      <c r="J27" s="56"/>
    </row>
    <row r="28" spans="1:10" s="4" customFormat="1" ht="24.75" customHeight="1">
      <c r="A28" s="181"/>
      <c r="B28" s="91" t="s">
        <v>406</v>
      </c>
      <c r="C28" s="91" t="s">
        <v>44</v>
      </c>
      <c r="D28" s="114">
        <v>3.45</v>
      </c>
      <c r="E28" s="86">
        <f>E27*D28</f>
        <v>34.5</v>
      </c>
      <c r="F28" s="532"/>
      <c r="G28" s="573"/>
      <c r="H28" s="8"/>
      <c r="I28" s="9"/>
      <c r="J28" s="57"/>
    </row>
    <row r="29" spans="1:11" s="4" customFormat="1" ht="24" customHeight="1">
      <c r="A29" s="181"/>
      <c r="B29" s="91" t="s">
        <v>397</v>
      </c>
      <c r="C29" s="91" t="s">
        <v>53</v>
      </c>
      <c r="D29" s="114">
        <v>1</v>
      </c>
      <c r="E29" s="86">
        <f>D29*E27</f>
        <v>10</v>
      </c>
      <c r="F29" s="536"/>
      <c r="G29" s="517"/>
      <c r="H29" s="8"/>
      <c r="I29" s="9"/>
      <c r="J29" s="26"/>
      <c r="K29" s="66"/>
    </row>
    <row r="30" spans="1:10" s="5" customFormat="1" ht="16.5" customHeight="1">
      <c r="A30" s="181"/>
      <c r="B30" s="91" t="s">
        <v>408</v>
      </c>
      <c r="C30" s="91" t="s">
        <v>54</v>
      </c>
      <c r="D30" s="114">
        <v>0.14</v>
      </c>
      <c r="E30" s="86">
        <f>E27*D30</f>
        <v>1.4000000000000001</v>
      </c>
      <c r="F30" s="516"/>
      <c r="G30" s="537"/>
      <c r="H30" s="38"/>
      <c r="I30" s="39"/>
      <c r="J30" s="38"/>
    </row>
    <row r="31" spans="1:7" s="4" customFormat="1" ht="37.5" customHeight="1">
      <c r="A31" s="234">
        <v>6</v>
      </c>
      <c r="B31" s="245" t="s">
        <v>602</v>
      </c>
      <c r="C31" s="410" t="s">
        <v>391</v>
      </c>
      <c r="D31" s="401"/>
      <c r="E31" s="243">
        <v>500</v>
      </c>
      <c r="F31" s="510"/>
      <c r="G31" s="527"/>
    </row>
    <row r="32" spans="1:10" s="4" customFormat="1" ht="26.25" customHeight="1">
      <c r="A32" s="181"/>
      <c r="B32" s="91" t="s">
        <v>407</v>
      </c>
      <c r="C32" s="91" t="s">
        <v>44</v>
      </c>
      <c r="D32" s="114">
        <v>0.15</v>
      </c>
      <c r="E32" s="86">
        <f>E31*D32</f>
        <v>75</v>
      </c>
      <c r="F32" s="532"/>
      <c r="G32" s="573"/>
      <c r="H32" s="33"/>
      <c r="I32" s="33"/>
      <c r="J32" s="33"/>
    </row>
    <row r="33" spans="1:10" s="4" customFormat="1" ht="19.5" customHeight="1">
      <c r="A33" s="181"/>
      <c r="B33" s="91" t="s">
        <v>395</v>
      </c>
      <c r="C33" s="91" t="s">
        <v>79</v>
      </c>
      <c r="D33" s="114">
        <v>1</v>
      </c>
      <c r="E33" s="86">
        <f>E31*D33</f>
        <v>500</v>
      </c>
      <c r="F33" s="536"/>
      <c r="G33" s="517"/>
      <c r="H33" s="33"/>
      <c r="I33" s="33"/>
      <c r="J33" s="33"/>
    </row>
    <row r="34" spans="1:10" s="4" customFormat="1" ht="26.25" customHeight="1">
      <c r="A34" s="181"/>
      <c r="B34" s="91" t="s">
        <v>408</v>
      </c>
      <c r="C34" s="91" t="s">
        <v>54</v>
      </c>
      <c r="D34" s="112">
        <v>0.0041</v>
      </c>
      <c r="E34" s="86">
        <f>E31*D34</f>
        <v>2.0500000000000003</v>
      </c>
      <c r="F34" s="516"/>
      <c r="G34" s="537"/>
      <c r="H34" s="33"/>
      <c r="I34" s="33"/>
      <c r="J34" s="33"/>
    </row>
    <row r="35" spans="1:10" s="4" customFormat="1" ht="40.5" customHeight="1">
      <c r="A35" s="234">
        <v>7</v>
      </c>
      <c r="B35" s="245" t="s">
        <v>603</v>
      </c>
      <c r="C35" s="410" t="s">
        <v>391</v>
      </c>
      <c r="D35" s="401"/>
      <c r="E35" s="243">
        <v>100</v>
      </c>
      <c r="F35" s="510"/>
      <c r="G35" s="527"/>
      <c r="H35" s="1"/>
      <c r="I35" s="1"/>
      <c r="J35" s="33"/>
    </row>
    <row r="36" spans="1:10" s="5" customFormat="1" ht="22.5" customHeight="1">
      <c r="A36" s="181"/>
      <c r="B36" s="91" t="s">
        <v>407</v>
      </c>
      <c r="C36" s="91" t="s">
        <v>44</v>
      </c>
      <c r="D36" s="114">
        <v>0.15</v>
      </c>
      <c r="E36" s="86">
        <f>E35*D36</f>
        <v>15</v>
      </c>
      <c r="F36" s="532"/>
      <c r="G36" s="573"/>
      <c r="H36" s="1"/>
      <c r="I36" s="3"/>
      <c r="J36" s="33"/>
    </row>
    <row r="37" spans="1:10" s="3" customFormat="1" ht="21" customHeight="1">
      <c r="A37" s="181"/>
      <c r="B37" s="190" t="s">
        <v>396</v>
      </c>
      <c r="C37" s="91" t="s">
        <v>79</v>
      </c>
      <c r="D37" s="114">
        <v>1</v>
      </c>
      <c r="E37" s="86">
        <f>D37*E35</f>
        <v>100</v>
      </c>
      <c r="F37" s="536"/>
      <c r="G37" s="517"/>
      <c r="H37" s="30"/>
      <c r="I37" s="30"/>
      <c r="J37" s="2"/>
    </row>
    <row r="38" spans="1:10" s="44" customFormat="1" ht="17.25" customHeight="1">
      <c r="A38" s="181"/>
      <c r="B38" s="91" t="s">
        <v>408</v>
      </c>
      <c r="C38" s="91" t="s">
        <v>54</v>
      </c>
      <c r="D38" s="112">
        <v>0.0041</v>
      </c>
      <c r="E38" s="86">
        <f>E35*D38</f>
        <v>0.41000000000000003</v>
      </c>
      <c r="F38" s="516"/>
      <c r="G38" s="537"/>
      <c r="H38" s="30"/>
      <c r="I38" s="30"/>
      <c r="J38" s="33"/>
    </row>
    <row r="39" spans="1:9" s="38" customFormat="1" ht="48.75" customHeight="1">
      <c r="A39" s="234">
        <v>8</v>
      </c>
      <c r="B39" s="245" t="s">
        <v>604</v>
      </c>
      <c r="C39" s="410" t="s">
        <v>391</v>
      </c>
      <c r="D39" s="133"/>
      <c r="E39" s="243">
        <v>150</v>
      </c>
      <c r="F39" s="510"/>
      <c r="G39" s="527"/>
      <c r="H39" s="30"/>
      <c r="I39" s="30"/>
    </row>
    <row r="40" spans="1:10" s="38" customFormat="1" ht="16.5" customHeight="1">
      <c r="A40" s="181"/>
      <c r="B40" s="91" t="s">
        <v>407</v>
      </c>
      <c r="C40" s="91" t="s">
        <v>44</v>
      </c>
      <c r="D40" s="91">
        <v>0.15</v>
      </c>
      <c r="E40" s="86">
        <f>E39*D40</f>
        <v>22.5</v>
      </c>
      <c r="F40" s="532"/>
      <c r="G40" s="573"/>
      <c r="H40" s="30"/>
      <c r="I40" s="30"/>
      <c r="J40" s="44"/>
    </row>
    <row r="41" spans="1:10" s="4" customFormat="1" ht="24.75" customHeight="1">
      <c r="A41" s="181"/>
      <c r="B41" s="91" t="s">
        <v>571</v>
      </c>
      <c r="C41" s="91" t="s">
        <v>79</v>
      </c>
      <c r="D41" s="208"/>
      <c r="E41" s="86">
        <v>150</v>
      </c>
      <c r="F41" s="536"/>
      <c r="G41" s="517"/>
      <c r="H41" s="30"/>
      <c r="I41" s="30"/>
      <c r="J41" s="3"/>
    </row>
    <row r="42" spans="1:10" s="33" customFormat="1" ht="23.25" customHeight="1">
      <c r="A42" s="181"/>
      <c r="B42" s="91" t="s">
        <v>408</v>
      </c>
      <c r="C42" s="91" t="s">
        <v>54</v>
      </c>
      <c r="D42" s="112">
        <v>0.0041</v>
      </c>
      <c r="E42" s="86">
        <f>E39*D42</f>
        <v>0.6150000000000001</v>
      </c>
      <c r="F42" s="516"/>
      <c r="G42" s="537"/>
      <c r="H42" s="30"/>
      <c r="I42" s="30"/>
      <c r="J42" s="19"/>
    </row>
    <row r="43" spans="1:10" s="33" customFormat="1" ht="27.75" customHeight="1">
      <c r="A43" s="236"/>
      <c r="B43" s="133" t="s">
        <v>448</v>
      </c>
      <c r="C43" s="91" t="s">
        <v>54</v>
      </c>
      <c r="D43" s="91"/>
      <c r="E43" s="86"/>
      <c r="F43" s="516"/>
      <c r="G43" s="511"/>
      <c r="H43" s="30"/>
      <c r="I43" s="30"/>
      <c r="J43" s="1"/>
    </row>
    <row r="44" spans="1:10" s="2" customFormat="1" ht="21.75" customHeight="1">
      <c r="A44" s="236"/>
      <c r="B44" s="91" t="s">
        <v>392</v>
      </c>
      <c r="C44" s="91" t="s">
        <v>54</v>
      </c>
      <c r="D44" s="91"/>
      <c r="E44" s="86"/>
      <c r="F44" s="532"/>
      <c r="G44" s="533"/>
      <c r="H44" s="30"/>
      <c r="I44" s="30"/>
      <c r="J44" s="31"/>
    </row>
    <row r="45" spans="1:10" s="32" customFormat="1" ht="27" customHeight="1">
      <c r="A45" s="236"/>
      <c r="B45" s="91" t="s">
        <v>393</v>
      </c>
      <c r="C45" s="91" t="s">
        <v>54</v>
      </c>
      <c r="D45" s="91"/>
      <c r="E45" s="130">
        <v>0.65</v>
      </c>
      <c r="F45" s="532"/>
      <c r="G45" s="577"/>
      <c r="H45" s="30"/>
      <c r="I45" s="30"/>
      <c r="J45" s="31"/>
    </row>
    <row r="46" spans="1:10" s="32" customFormat="1" ht="21.75" customHeight="1">
      <c r="A46" s="350"/>
      <c r="B46" s="133" t="s">
        <v>55</v>
      </c>
      <c r="C46" s="133" t="s">
        <v>54</v>
      </c>
      <c r="D46" s="133"/>
      <c r="E46" s="133"/>
      <c r="F46" s="510"/>
      <c r="G46" s="511"/>
      <c r="H46" s="30"/>
      <c r="I46" s="30"/>
      <c r="J46" s="31"/>
    </row>
    <row r="47" spans="1:10" s="2" customFormat="1" ht="21.75" customHeight="1">
      <c r="A47" s="236"/>
      <c r="B47" s="91" t="s">
        <v>340</v>
      </c>
      <c r="C47" s="91" t="s">
        <v>54</v>
      </c>
      <c r="D47" s="91"/>
      <c r="E47" s="130">
        <v>0.08</v>
      </c>
      <c r="F47" s="516"/>
      <c r="G47" s="578"/>
      <c r="H47" s="30"/>
      <c r="I47" s="30"/>
      <c r="J47" s="31"/>
    </row>
    <row r="48" spans="1:10" s="2" customFormat="1" ht="29.25" customHeight="1">
      <c r="A48" s="236"/>
      <c r="B48" s="133" t="s">
        <v>448</v>
      </c>
      <c r="C48" s="133" t="s">
        <v>54</v>
      </c>
      <c r="D48" s="91"/>
      <c r="E48" s="86"/>
      <c r="F48" s="516"/>
      <c r="G48" s="511"/>
      <c r="H48" s="30"/>
      <c r="I48" s="30"/>
      <c r="J48" s="31"/>
    </row>
    <row r="49" spans="1:10" s="33" customFormat="1" ht="15" customHeight="1">
      <c r="A49" s="139"/>
      <c r="B49" s="178"/>
      <c r="C49" s="178"/>
      <c r="D49" s="179"/>
      <c r="E49" s="179"/>
      <c r="F49" s="179"/>
      <c r="G49" s="209"/>
      <c r="H49" s="30"/>
      <c r="I49" s="30"/>
      <c r="J49" s="31"/>
    </row>
    <row r="50" spans="1:10" s="38" customFormat="1" ht="15" customHeight="1" hidden="1">
      <c r="A50" s="139"/>
      <c r="B50" s="178"/>
      <c r="C50" s="178"/>
      <c r="D50" s="179"/>
      <c r="E50" s="179"/>
      <c r="F50" s="179"/>
      <c r="G50" s="209"/>
      <c r="H50" s="30"/>
      <c r="I50" s="30"/>
      <c r="J50" s="31"/>
    </row>
    <row r="51" spans="1:10" s="44" customFormat="1" ht="8.25" customHeight="1">
      <c r="A51" s="139"/>
      <c r="B51" s="178"/>
      <c r="C51" s="178"/>
      <c r="D51" s="179"/>
      <c r="E51" s="179"/>
      <c r="F51" s="179"/>
      <c r="G51" s="209"/>
      <c r="H51" s="30"/>
      <c r="I51" s="30"/>
      <c r="J51" s="31"/>
    </row>
    <row r="52" spans="1:10" s="1" customFormat="1" ht="5.25" customHeight="1">
      <c r="A52" s="139"/>
      <c r="B52" s="178"/>
      <c r="C52" s="178"/>
      <c r="D52" s="179"/>
      <c r="E52" s="179"/>
      <c r="F52" s="179"/>
      <c r="G52" s="209"/>
      <c r="H52" s="30"/>
      <c r="I52" s="30"/>
      <c r="J52" s="31"/>
    </row>
    <row r="53" spans="1:10" s="1" customFormat="1" ht="27" customHeight="1">
      <c r="A53" s="139"/>
      <c r="B53" s="468" t="s">
        <v>920</v>
      </c>
      <c r="C53" s="468"/>
      <c r="D53" s="468"/>
      <c r="E53" s="468"/>
      <c r="F53" s="468"/>
      <c r="G53" s="468"/>
      <c r="H53" s="30"/>
      <c r="I53" s="30"/>
      <c r="J53" s="31"/>
    </row>
    <row r="54" spans="1:10" s="1" customFormat="1" ht="19.5" customHeight="1">
      <c r="A54" s="210"/>
      <c r="B54" s="78"/>
      <c r="C54" s="211"/>
      <c r="D54" s="211"/>
      <c r="E54" s="212"/>
      <c r="F54" s="213"/>
      <c r="G54" s="214"/>
      <c r="H54" s="30"/>
      <c r="I54" s="30"/>
      <c r="J54" s="31"/>
    </row>
    <row r="55" spans="1:10" s="1" customFormat="1" ht="19.5" customHeight="1">
      <c r="A55" s="210"/>
      <c r="B55" s="78"/>
      <c r="C55" s="211"/>
      <c r="D55" s="211"/>
      <c r="E55" s="212"/>
      <c r="F55" s="213"/>
      <c r="G55" s="214"/>
      <c r="H55" s="30"/>
      <c r="I55" s="30"/>
      <c r="J55" s="31"/>
    </row>
    <row r="56" spans="1:10" s="1" customFormat="1" ht="19.5" customHeight="1">
      <c r="A56" s="210"/>
      <c r="B56" s="78"/>
      <c r="C56" s="211"/>
      <c r="D56" s="211"/>
      <c r="E56" s="212"/>
      <c r="F56" s="213"/>
      <c r="G56" s="214"/>
      <c r="H56" s="30"/>
      <c r="I56" s="30"/>
      <c r="J56" s="31"/>
    </row>
    <row r="57" spans="1:10" s="1" customFormat="1" ht="25.5" customHeight="1">
      <c r="A57" s="210"/>
      <c r="B57" s="78"/>
      <c r="C57" s="211"/>
      <c r="D57" s="211"/>
      <c r="E57" s="212"/>
      <c r="F57" s="213"/>
      <c r="G57" s="214"/>
      <c r="H57" s="30"/>
      <c r="I57" s="30"/>
      <c r="J57" s="31"/>
    </row>
    <row r="58" spans="1:10" s="1" customFormat="1" ht="17.25" customHeight="1">
      <c r="A58" s="210"/>
      <c r="B58" s="78"/>
      <c r="C58" s="211"/>
      <c r="D58" s="211"/>
      <c r="E58" s="212"/>
      <c r="F58" s="213"/>
      <c r="G58" s="214"/>
      <c r="H58" s="30"/>
      <c r="I58" s="30"/>
      <c r="J58" s="31"/>
    </row>
    <row r="59" spans="1:10" s="1" customFormat="1" ht="15.75" customHeight="1">
      <c r="A59" s="210"/>
      <c r="B59" s="78"/>
      <c r="C59" s="211"/>
      <c r="D59" s="211"/>
      <c r="E59" s="212"/>
      <c r="F59" s="213"/>
      <c r="G59" s="214"/>
      <c r="H59" s="30"/>
      <c r="I59" s="30"/>
      <c r="J59" s="31"/>
    </row>
    <row r="60" spans="1:7" ht="13.5">
      <c r="A60" s="210"/>
      <c r="B60" s="78"/>
      <c r="C60" s="211"/>
      <c r="D60" s="211"/>
      <c r="E60" s="212"/>
      <c r="F60" s="213"/>
      <c r="G60" s="214"/>
    </row>
    <row r="61" spans="1:11" s="203" customFormat="1" ht="13.5">
      <c r="A61" s="210"/>
      <c r="B61" s="78"/>
      <c r="C61" s="211"/>
      <c r="D61" s="211"/>
      <c r="E61" s="212"/>
      <c r="F61" s="213"/>
      <c r="G61" s="214"/>
      <c r="H61" s="30"/>
      <c r="I61" s="30"/>
      <c r="J61" s="31"/>
      <c r="K61" s="30"/>
    </row>
    <row r="62" spans="1:11" s="203" customFormat="1" ht="13.5">
      <c r="A62" s="210"/>
      <c r="B62" s="78"/>
      <c r="C62" s="211"/>
      <c r="D62" s="211"/>
      <c r="E62" s="212"/>
      <c r="F62" s="213"/>
      <c r="G62" s="214"/>
      <c r="H62" s="30"/>
      <c r="I62" s="30"/>
      <c r="J62" s="31"/>
      <c r="K62" s="30"/>
    </row>
    <row r="63" spans="1:11" s="203" customFormat="1" ht="13.5">
      <c r="A63" s="210"/>
      <c r="B63" s="78"/>
      <c r="C63" s="211"/>
      <c r="D63" s="211"/>
      <c r="E63" s="212"/>
      <c r="F63" s="213"/>
      <c r="G63" s="214"/>
      <c r="H63" s="30"/>
      <c r="I63" s="30"/>
      <c r="J63" s="31"/>
      <c r="K63" s="30"/>
    </row>
    <row r="64" spans="1:11" s="203" customFormat="1" ht="13.5">
      <c r="A64" s="210"/>
      <c r="B64" s="78"/>
      <c r="C64" s="211"/>
      <c r="D64" s="211"/>
      <c r="E64" s="212"/>
      <c r="F64" s="213"/>
      <c r="G64" s="214"/>
      <c r="H64" s="30"/>
      <c r="I64" s="30"/>
      <c r="J64" s="31"/>
      <c r="K64" s="30"/>
    </row>
    <row r="65" spans="1:11" s="203" customFormat="1" ht="13.5">
      <c r="A65" s="210"/>
      <c r="B65" s="78"/>
      <c r="C65" s="211"/>
      <c r="D65" s="211"/>
      <c r="E65" s="212"/>
      <c r="F65" s="213"/>
      <c r="G65" s="214"/>
      <c r="H65" s="30"/>
      <c r="I65" s="30"/>
      <c r="J65" s="31"/>
      <c r="K65" s="30"/>
    </row>
    <row r="66" spans="1:11" s="203" customFormat="1" ht="13.5">
      <c r="A66" s="210"/>
      <c r="B66" s="78"/>
      <c r="C66" s="211"/>
      <c r="D66" s="211"/>
      <c r="E66" s="212"/>
      <c r="F66" s="213"/>
      <c r="G66" s="214"/>
      <c r="H66" s="30"/>
      <c r="I66" s="30"/>
      <c r="J66" s="31"/>
      <c r="K66" s="30"/>
    </row>
    <row r="67" spans="1:11" s="203" customFormat="1" ht="13.5">
      <c r="A67" s="210"/>
      <c r="B67" s="78"/>
      <c r="C67" s="211"/>
      <c r="D67" s="211"/>
      <c r="E67" s="212"/>
      <c r="F67" s="213"/>
      <c r="G67" s="214"/>
      <c r="H67" s="30"/>
      <c r="I67" s="30"/>
      <c r="J67" s="31"/>
      <c r="K67" s="30"/>
    </row>
    <row r="68" spans="1:11" s="203" customFormat="1" ht="13.5">
      <c r="A68" s="210"/>
      <c r="B68" s="78"/>
      <c r="C68" s="211"/>
      <c r="D68" s="211"/>
      <c r="E68" s="212"/>
      <c r="F68" s="213"/>
      <c r="G68" s="214"/>
      <c r="H68" s="30"/>
      <c r="I68" s="30"/>
      <c r="J68" s="31"/>
      <c r="K68" s="30"/>
    </row>
    <row r="69" spans="1:11" s="203" customFormat="1" ht="13.5">
      <c r="A69" s="210"/>
      <c r="B69" s="78"/>
      <c r="C69" s="211"/>
      <c r="D69" s="211"/>
      <c r="E69" s="212"/>
      <c r="F69" s="213"/>
      <c r="G69" s="214"/>
      <c r="H69" s="30"/>
      <c r="I69" s="30"/>
      <c r="J69" s="31"/>
      <c r="K69" s="30"/>
    </row>
    <row r="70" spans="1:11" s="203" customFormat="1" ht="13.5">
      <c r="A70" s="210"/>
      <c r="B70" s="78"/>
      <c r="C70" s="211"/>
      <c r="D70" s="211"/>
      <c r="E70" s="212"/>
      <c r="F70" s="213"/>
      <c r="G70" s="214"/>
      <c r="H70" s="30"/>
      <c r="I70" s="30"/>
      <c r="J70" s="31"/>
      <c r="K70" s="30"/>
    </row>
    <row r="71" spans="1:11" s="203" customFormat="1" ht="13.5">
      <c r="A71" s="210"/>
      <c r="B71" s="78"/>
      <c r="C71" s="211"/>
      <c r="D71" s="211"/>
      <c r="E71" s="212"/>
      <c r="F71" s="213"/>
      <c r="G71" s="214"/>
      <c r="H71" s="30"/>
      <c r="I71" s="30"/>
      <c r="J71" s="31"/>
      <c r="K71" s="30"/>
    </row>
    <row r="72" spans="1:11" s="203" customFormat="1" ht="13.5">
      <c r="A72" s="215"/>
      <c r="B72" s="78"/>
      <c r="C72" s="211"/>
      <c r="D72" s="211"/>
      <c r="E72" s="212"/>
      <c r="F72" s="213"/>
      <c r="G72" s="214"/>
      <c r="H72" s="30"/>
      <c r="I72" s="30"/>
      <c r="J72" s="31"/>
      <c r="K72" s="30"/>
    </row>
    <row r="73" spans="1:11" s="203" customFormat="1" ht="13.5">
      <c r="A73" s="215"/>
      <c r="B73" s="78"/>
      <c r="C73" s="211"/>
      <c r="D73" s="211"/>
      <c r="E73" s="212"/>
      <c r="F73" s="213"/>
      <c r="G73" s="214"/>
      <c r="H73" s="30"/>
      <c r="I73" s="30"/>
      <c r="J73" s="31"/>
      <c r="K73" s="30"/>
    </row>
    <row r="74" spans="1:11" s="203" customFormat="1" ht="13.5">
      <c r="A74" s="215"/>
      <c r="B74" s="78"/>
      <c r="C74" s="211"/>
      <c r="D74" s="211"/>
      <c r="E74" s="212"/>
      <c r="F74" s="213"/>
      <c r="G74" s="214"/>
      <c r="H74" s="30"/>
      <c r="I74" s="30"/>
      <c r="J74" s="31"/>
      <c r="K74" s="30"/>
    </row>
    <row r="75" spans="1:11" s="203" customFormat="1" ht="13.5">
      <c r="A75" s="215"/>
      <c r="B75" s="78"/>
      <c r="C75" s="211"/>
      <c r="D75" s="211"/>
      <c r="E75" s="212"/>
      <c r="F75" s="213"/>
      <c r="G75" s="214"/>
      <c r="H75" s="30"/>
      <c r="I75" s="30"/>
      <c r="J75" s="31"/>
      <c r="K75" s="30"/>
    </row>
    <row r="76" spans="1:11" s="203" customFormat="1" ht="13.5">
      <c r="A76" s="215"/>
      <c r="B76" s="78"/>
      <c r="C76" s="211"/>
      <c r="D76" s="211"/>
      <c r="E76" s="212"/>
      <c r="F76" s="213"/>
      <c r="G76" s="214"/>
      <c r="H76" s="30"/>
      <c r="I76" s="30"/>
      <c r="J76" s="31"/>
      <c r="K76" s="30"/>
    </row>
    <row r="77" spans="1:11" s="203" customFormat="1" ht="13.5">
      <c r="A77" s="215"/>
      <c r="B77" s="78"/>
      <c r="C77" s="211"/>
      <c r="D77" s="211"/>
      <c r="E77" s="212"/>
      <c r="F77" s="213"/>
      <c r="G77" s="214"/>
      <c r="H77" s="30"/>
      <c r="I77" s="30"/>
      <c r="J77" s="31"/>
      <c r="K77" s="30"/>
    </row>
    <row r="78" spans="1:7" ht="13.5">
      <c r="A78" s="215"/>
      <c r="B78" s="78"/>
      <c r="C78" s="211"/>
      <c r="D78" s="211"/>
      <c r="E78" s="212"/>
      <c r="F78" s="213"/>
      <c r="G78" s="214"/>
    </row>
    <row r="79" spans="1:7" ht="13.5">
      <c r="A79" s="215"/>
      <c r="B79" s="78"/>
      <c r="C79" s="211"/>
      <c r="D79" s="211"/>
      <c r="E79" s="212"/>
      <c r="F79" s="213"/>
      <c r="G79" s="214"/>
    </row>
    <row r="80" spans="1:7" ht="13.5">
      <c r="A80" s="215"/>
      <c r="B80" s="78"/>
      <c r="C80" s="211"/>
      <c r="D80" s="211"/>
      <c r="E80" s="212"/>
      <c r="F80" s="213"/>
      <c r="G80" s="214"/>
    </row>
    <row r="81" spans="1:7" ht="13.5">
      <c r="A81" s="215"/>
      <c r="B81" s="78"/>
      <c r="C81" s="211"/>
      <c r="D81" s="211"/>
      <c r="E81" s="212"/>
      <c r="F81" s="213"/>
      <c r="G81" s="214"/>
    </row>
    <row r="82" spans="1:7" ht="13.5">
      <c r="A82" s="215"/>
      <c r="B82" s="78"/>
      <c r="C82" s="211"/>
      <c r="D82" s="211"/>
      <c r="E82" s="212"/>
      <c r="F82" s="213"/>
      <c r="G82" s="214"/>
    </row>
    <row r="83" spans="1:7" ht="13.5">
      <c r="A83" s="215"/>
      <c r="B83" s="78"/>
      <c r="C83" s="211"/>
      <c r="D83" s="211"/>
      <c r="E83" s="212"/>
      <c r="F83" s="213"/>
      <c r="G83" s="214"/>
    </row>
    <row r="84" spans="1:7" ht="13.5">
      <c r="A84" s="215"/>
      <c r="B84" s="78"/>
      <c r="C84" s="211"/>
      <c r="D84" s="211"/>
      <c r="E84" s="212"/>
      <c r="F84" s="213"/>
      <c r="G84" s="214"/>
    </row>
    <row r="85" spans="1:7" ht="13.5">
      <c r="A85" s="215"/>
      <c r="B85" s="78"/>
      <c r="C85" s="211"/>
      <c r="D85" s="211"/>
      <c r="E85" s="212"/>
      <c r="F85" s="213"/>
      <c r="G85" s="214"/>
    </row>
    <row r="86" spans="1:7" ht="13.5">
      <c r="A86" s="215"/>
      <c r="B86" s="78"/>
      <c r="C86" s="211"/>
      <c r="D86" s="211"/>
      <c r="E86" s="212"/>
      <c r="F86" s="213"/>
      <c r="G86" s="214"/>
    </row>
    <row r="87" spans="1:7" ht="13.5">
      <c r="A87" s="215"/>
      <c r="B87" s="78"/>
      <c r="C87" s="211"/>
      <c r="D87" s="211"/>
      <c r="E87" s="212"/>
      <c r="F87" s="213"/>
      <c r="G87" s="214"/>
    </row>
    <row r="88" spans="1:7" ht="13.5">
      <c r="A88" s="215"/>
      <c r="B88" s="78"/>
      <c r="C88" s="211"/>
      <c r="D88" s="211"/>
      <c r="E88" s="212"/>
      <c r="F88" s="213"/>
      <c r="G88" s="214"/>
    </row>
    <row r="89" spans="1:7" ht="13.5">
      <c r="A89" s="215"/>
      <c r="B89" s="78"/>
      <c r="C89" s="211"/>
      <c r="D89" s="211"/>
      <c r="E89" s="212"/>
      <c r="F89" s="213"/>
      <c r="G89" s="214"/>
    </row>
    <row r="90" spans="1:7" ht="13.5">
      <c r="A90" s="215"/>
      <c r="B90" s="78"/>
      <c r="C90" s="211"/>
      <c r="D90" s="211"/>
      <c r="E90" s="212"/>
      <c r="F90" s="213"/>
      <c r="G90" s="214"/>
    </row>
  </sheetData>
  <sheetProtection password="CF2D" sheet="1"/>
  <mergeCells count="10">
    <mergeCell ref="B53:G53"/>
    <mergeCell ref="A1:G1"/>
    <mergeCell ref="A2:G2"/>
    <mergeCell ref="A3:G3"/>
    <mergeCell ref="A4:G4"/>
    <mergeCell ref="A5:A6"/>
    <mergeCell ref="B5:B6"/>
    <mergeCell ref="C5:C6"/>
    <mergeCell ref="D5:E5"/>
    <mergeCell ref="F5:G5"/>
  </mergeCells>
  <printOptions/>
  <pageMargins left="0.7" right="0.31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4"/>
  <sheetViews>
    <sheetView zoomScalePageLayoutView="0" workbookViewId="0" topLeftCell="A1">
      <selection activeCell="F8" sqref="F8:G48"/>
    </sheetView>
  </sheetViews>
  <sheetFormatPr defaultColWidth="9.140625" defaultRowHeight="12.75"/>
  <cols>
    <col min="1" max="1" width="4.00390625" style="0" customWidth="1"/>
    <col min="2" max="2" width="37.28125" style="0" customWidth="1"/>
    <col min="3" max="3" width="7.421875" style="0" customWidth="1"/>
    <col min="4" max="4" width="6.28125" style="0" customWidth="1"/>
    <col min="6" max="6" width="9.28125" style="0" customWidth="1"/>
    <col min="7" max="7" width="11.28125" style="0" customWidth="1"/>
  </cols>
  <sheetData>
    <row r="1" spans="1:7" ht="45" customHeight="1">
      <c r="A1" s="486" t="s">
        <v>824</v>
      </c>
      <c r="B1" s="458"/>
      <c r="C1" s="458"/>
      <c r="D1" s="458"/>
      <c r="E1" s="458"/>
      <c r="F1" s="458"/>
      <c r="G1" s="458"/>
    </row>
    <row r="2" spans="1:7" ht="22.5" customHeight="1">
      <c r="A2" s="471" t="s">
        <v>579</v>
      </c>
      <c r="B2" s="471"/>
      <c r="C2" s="471"/>
      <c r="D2" s="471"/>
      <c r="E2" s="471"/>
      <c r="F2" s="471"/>
      <c r="G2" s="471"/>
    </row>
    <row r="3" spans="1:7" ht="18.75" customHeight="1">
      <c r="A3" s="475" t="s">
        <v>578</v>
      </c>
      <c r="B3" s="475"/>
      <c r="C3" s="475"/>
      <c r="D3" s="475"/>
      <c r="E3" s="475"/>
      <c r="F3" s="475"/>
      <c r="G3" s="475"/>
    </row>
    <row r="4" spans="1:7" ht="29.25" customHeight="1">
      <c r="A4" s="461" t="s">
        <v>46</v>
      </c>
      <c r="B4" s="472" t="s">
        <v>47</v>
      </c>
      <c r="C4" s="466" t="s">
        <v>45</v>
      </c>
      <c r="D4" s="465" t="s">
        <v>48</v>
      </c>
      <c r="E4" s="465"/>
      <c r="F4" s="465" t="s">
        <v>41</v>
      </c>
      <c r="G4" s="465"/>
    </row>
    <row r="5" spans="1:7" ht="51.75" customHeight="1">
      <c r="A5" s="461"/>
      <c r="B5" s="472"/>
      <c r="C5" s="466"/>
      <c r="D5" s="95" t="s">
        <v>49</v>
      </c>
      <c r="E5" s="95" t="s">
        <v>50</v>
      </c>
      <c r="F5" s="95" t="s">
        <v>49</v>
      </c>
      <c r="G5" s="304" t="s">
        <v>50</v>
      </c>
    </row>
    <row r="6" spans="1:7" ht="13.5">
      <c r="A6" s="198" t="s">
        <v>51</v>
      </c>
      <c r="B6" s="248">
        <v>3</v>
      </c>
      <c r="C6" s="248">
        <v>4</v>
      </c>
      <c r="D6" s="248">
        <v>5</v>
      </c>
      <c r="E6" s="248">
        <v>6</v>
      </c>
      <c r="F6" s="248">
        <v>7</v>
      </c>
      <c r="G6" s="234">
        <v>8</v>
      </c>
    </row>
    <row r="7" spans="1:7" ht="25.5" customHeight="1">
      <c r="A7" s="305"/>
      <c r="B7" s="438" t="s">
        <v>918</v>
      </c>
      <c r="C7" s="305"/>
      <c r="D7" s="305"/>
      <c r="E7" s="305"/>
      <c r="F7" s="411"/>
      <c r="G7" s="412"/>
    </row>
    <row r="8" spans="1:7" ht="39.75" customHeight="1">
      <c r="A8" s="305">
        <v>1</v>
      </c>
      <c r="B8" s="248" t="s">
        <v>605</v>
      </c>
      <c r="C8" s="305" t="s">
        <v>575</v>
      </c>
      <c r="D8" s="305"/>
      <c r="E8" s="305">
        <v>1</v>
      </c>
      <c r="F8" s="506"/>
      <c r="G8" s="530"/>
    </row>
    <row r="9" spans="1:7" ht="23.25" customHeight="1">
      <c r="A9" s="305"/>
      <c r="B9" s="91" t="s">
        <v>606</v>
      </c>
      <c r="C9" s="91" t="s">
        <v>44</v>
      </c>
      <c r="D9" s="114">
        <v>0.291</v>
      </c>
      <c r="E9" s="114">
        <f>E8*D9</f>
        <v>0.291</v>
      </c>
      <c r="F9" s="532"/>
      <c r="G9" s="580"/>
    </row>
    <row r="10" spans="1:7" ht="26.25" customHeight="1">
      <c r="A10" s="305"/>
      <c r="B10" s="91" t="s">
        <v>607</v>
      </c>
      <c r="C10" s="91" t="s">
        <v>53</v>
      </c>
      <c r="D10" s="114">
        <v>1</v>
      </c>
      <c r="E10" s="121">
        <f>D10*E8</f>
        <v>1</v>
      </c>
      <c r="F10" s="516"/>
      <c r="G10" s="537"/>
    </row>
    <row r="11" spans="1:7" ht="23.25" customHeight="1">
      <c r="A11" s="305"/>
      <c r="B11" s="92" t="s">
        <v>408</v>
      </c>
      <c r="C11" s="91" t="s">
        <v>53</v>
      </c>
      <c r="D11" s="114">
        <v>0.0828</v>
      </c>
      <c r="E11" s="86">
        <f>D11*E8</f>
        <v>0.0828</v>
      </c>
      <c r="F11" s="516"/>
      <c r="G11" s="537"/>
    </row>
    <row r="12" spans="1:7" ht="33.75" customHeight="1">
      <c r="A12" s="305">
        <v>2</v>
      </c>
      <c r="B12" s="248" t="s">
        <v>581</v>
      </c>
      <c r="C12" s="133" t="s">
        <v>572</v>
      </c>
      <c r="D12" s="336"/>
      <c r="E12" s="305">
        <v>20</v>
      </c>
      <c r="F12" s="506"/>
      <c r="G12" s="530"/>
    </row>
    <row r="13" spans="1:7" ht="27.75" customHeight="1">
      <c r="A13" s="305"/>
      <c r="B13" s="91" t="s">
        <v>407</v>
      </c>
      <c r="C13" s="91" t="s">
        <v>44</v>
      </c>
      <c r="D13" s="114">
        <v>0.15</v>
      </c>
      <c r="E13" s="86">
        <f>E12*D13</f>
        <v>3</v>
      </c>
      <c r="F13" s="532"/>
      <c r="G13" s="581"/>
    </row>
    <row r="14" spans="1:7" ht="23.25" customHeight="1">
      <c r="A14" s="305"/>
      <c r="B14" s="91" t="s">
        <v>608</v>
      </c>
      <c r="C14" s="91" t="s">
        <v>79</v>
      </c>
      <c r="D14" s="114">
        <v>1</v>
      </c>
      <c r="E14" s="86">
        <f>E12*D14</f>
        <v>20</v>
      </c>
      <c r="F14" s="536"/>
      <c r="G14" s="568"/>
    </row>
    <row r="15" spans="1:7" ht="18" customHeight="1">
      <c r="A15" s="306"/>
      <c r="B15" s="92" t="s">
        <v>408</v>
      </c>
      <c r="C15" s="92" t="s">
        <v>54</v>
      </c>
      <c r="D15" s="118">
        <v>0.0041</v>
      </c>
      <c r="E15" s="117">
        <f>E12*D15</f>
        <v>0.082</v>
      </c>
      <c r="F15" s="582"/>
      <c r="G15" s="583"/>
    </row>
    <row r="16" spans="1:7" ht="43.5" customHeight="1">
      <c r="A16" s="305">
        <v>3</v>
      </c>
      <c r="B16" s="248" t="s">
        <v>580</v>
      </c>
      <c r="C16" s="133" t="s">
        <v>572</v>
      </c>
      <c r="D16" s="305"/>
      <c r="E16" s="305">
        <v>10</v>
      </c>
      <c r="F16" s="506"/>
      <c r="G16" s="530"/>
    </row>
    <row r="17" spans="1:7" ht="27" customHeight="1">
      <c r="A17" s="305"/>
      <c r="B17" s="91" t="s">
        <v>407</v>
      </c>
      <c r="C17" s="91" t="s">
        <v>44</v>
      </c>
      <c r="D17" s="114">
        <v>0.15</v>
      </c>
      <c r="E17" s="86">
        <f>E16*D17</f>
        <v>1.5</v>
      </c>
      <c r="F17" s="532"/>
      <c r="G17" s="581"/>
    </row>
    <row r="18" spans="1:7" ht="24" customHeight="1">
      <c r="A18" s="306"/>
      <c r="B18" s="91" t="s">
        <v>609</v>
      </c>
      <c r="C18" s="91" t="s">
        <v>79</v>
      </c>
      <c r="D18" s="114">
        <v>1</v>
      </c>
      <c r="E18" s="86">
        <f>E16*D18</f>
        <v>10</v>
      </c>
      <c r="F18" s="536"/>
      <c r="G18" s="568"/>
    </row>
    <row r="19" spans="1:7" ht="19.5" customHeight="1">
      <c r="A19" s="306"/>
      <c r="B19" s="92" t="s">
        <v>408</v>
      </c>
      <c r="C19" s="92" t="s">
        <v>54</v>
      </c>
      <c r="D19" s="118">
        <v>0.0041</v>
      </c>
      <c r="E19" s="117">
        <f>E16*D19</f>
        <v>0.041</v>
      </c>
      <c r="F19" s="582"/>
      <c r="G19" s="583"/>
    </row>
    <row r="20" spans="1:7" ht="18.75" customHeight="1">
      <c r="A20" s="307"/>
      <c r="B20" s="308" t="s">
        <v>573</v>
      </c>
      <c r="C20" s="307" t="s">
        <v>54</v>
      </c>
      <c r="D20" s="307"/>
      <c r="E20" s="307"/>
      <c r="F20" s="584"/>
      <c r="G20" s="585"/>
    </row>
    <row r="21" spans="1:7" ht="16.5" customHeight="1">
      <c r="A21" s="307"/>
      <c r="B21" s="308" t="s">
        <v>574</v>
      </c>
      <c r="C21" s="307" t="s">
        <v>54</v>
      </c>
      <c r="D21" s="307"/>
      <c r="E21" s="307"/>
      <c r="F21" s="586"/>
      <c r="G21" s="587"/>
    </row>
    <row r="22" spans="1:7" ht="30.75" customHeight="1">
      <c r="A22" s="305"/>
      <c r="B22" s="438" t="s">
        <v>919</v>
      </c>
      <c r="C22" s="305"/>
      <c r="D22" s="305"/>
      <c r="E22" s="305"/>
      <c r="F22" s="506"/>
      <c r="G22" s="530"/>
    </row>
    <row r="23" spans="1:7" ht="45.75" customHeight="1">
      <c r="A23" s="305">
        <v>1</v>
      </c>
      <c r="B23" s="248" t="s">
        <v>612</v>
      </c>
      <c r="C23" s="305" t="s">
        <v>594</v>
      </c>
      <c r="D23" s="305"/>
      <c r="E23" s="305">
        <v>1</v>
      </c>
      <c r="F23" s="506"/>
      <c r="G23" s="530"/>
    </row>
    <row r="24" spans="1:7" ht="29.25" customHeight="1">
      <c r="A24" s="305"/>
      <c r="B24" s="91" t="s">
        <v>58</v>
      </c>
      <c r="C24" s="91" t="s">
        <v>53</v>
      </c>
      <c r="D24" s="306">
        <v>1</v>
      </c>
      <c r="E24" s="306">
        <f>D24*E23</f>
        <v>1</v>
      </c>
      <c r="F24" s="576"/>
      <c r="G24" s="588"/>
    </row>
    <row r="25" spans="1:7" ht="26.25" customHeight="1">
      <c r="A25" s="305"/>
      <c r="B25" s="91" t="s">
        <v>610</v>
      </c>
      <c r="C25" s="91" t="s">
        <v>54</v>
      </c>
      <c r="D25" s="337">
        <v>0.034</v>
      </c>
      <c r="E25" s="306">
        <f>D25*E23</f>
        <v>0.034</v>
      </c>
      <c r="F25" s="563"/>
      <c r="G25" s="575"/>
    </row>
    <row r="26" spans="1:7" ht="26.25" customHeight="1">
      <c r="A26" s="305"/>
      <c r="B26" s="91" t="s">
        <v>611</v>
      </c>
      <c r="C26" s="91" t="s">
        <v>53</v>
      </c>
      <c r="D26" s="337">
        <v>1</v>
      </c>
      <c r="E26" s="306">
        <f>E23*D26</f>
        <v>1</v>
      </c>
      <c r="F26" s="563"/>
      <c r="G26" s="575"/>
    </row>
    <row r="27" spans="1:7" ht="23.25" customHeight="1">
      <c r="A27" s="305"/>
      <c r="B27" s="91" t="s">
        <v>613</v>
      </c>
      <c r="C27" s="91" t="s">
        <v>53</v>
      </c>
      <c r="D27" s="337">
        <v>1</v>
      </c>
      <c r="E27" s="306">
        <f>D27*E23</f>
        <v>1</v>
      </c>
      <c r="F27" s="563"/>
      <c r="G27" s="575"/>
    </row>
    <row r="28" spans="1:7" ht="18" customHeight="1">
      <c r="A28" s="306"/>
      <c r="B28" s="92" t="s">
        <v>408</v>
      </c>
      <c r="C28" s="92" t="s">
        <v>54</v>
      </c>
      <c r="D28" s="306">
        <v>0.18</v>
      </c>
      <c r="E28" s="306">
        <f>D28*E23</f>
        <v>0.18</v>
      </c>
      <c r="F28" s="563"/>
      <c r="G28" s="575"/>
    </row>
    <row r="29" spans="1:7" ht="44.25" customHeight="1">
      <c r="A29" s="305">
        <v>2</v>
      </c>
      <c r="B29" s="248" t="s">
        <v>614</v>
      </c>
      <c r="C29" s="305" t="s">
        <v>53</v>
      </c>
      <c r="D29" s="305"/>
      <c r="E29" s="305">
        <v>1</v>
      </c>
      <c r="F29" s="506"/>
      <c r="G29" s="530"/>
    </row>
    <row r="30" spans="1:7" ht="24" customHeight="1">
      <c r="A30" s="305"/>
      <c r="B30" s="91" t="s">
        <v>617</v>
      </c>
      <c r="C30" s="91" t="s">
        <v>53</v>
      </c>
      <c r="D30" s="114">
        <v>1</v>
      </c>
      <c r="E30" s="86">
        <f>E29*D30</f>
        <v>1</v>
      </c>
      <c r="F30" s="532"/>
      <c r="G30" s="581"/>
    </row>
    <row r="31" spans="1:7" ht="33.75" customHeight="1">
      <c r="A31" s="305"/>
      <c r="B31" s="91" t="s">
        <v>615</v>
      </c>
      <c r="C31" s="91" t="s">
        <v>53</v>
      </c>
      <c r="D31" s="114">
        <v>1</v>
      </c>
      <c r="E31" s="86">
        <f>E29*D31</f>
        <v>1</v>
      </c>
      <c r="F31" s="536"/>
      <c r="G31" s="568"/>
    </row>
    <row r="32" spans="1:7" ht="24.75" customHeight="1">
      <c r="A32" s="306"/>
      <c r="B32" s="92" t="s">
        <v>408</v>
      </c>
      <c r="C32" s="92" t="s">
        <v>54</v>
      </c>
      <c r="D32" s="118">
        <v>0.18</v>
      </c>
      <c r="E32" s="117">
        <f>E29*D32</f>
        <v>0.18</v>
      </c>
      <c r="F32" s="582"/>
      <c r="G32" s="583"/>
    </row>
    <row r="33" spans="1:7" ht="43.5" customHeight="1">
      <c r="A33" s="305">
        <v>3</v>
      </c>
      <c r="B33" s="248" t="s">
        <v>616</v>
      </c>
      <c r="C33" s="305" t="s">
        <v>575</v>
      </c>
      <c r="D33" s="305"/>
      <c r="E33" s="305">
        <v>23</v>
      </c>
      <c r="F33" s="506"/>
      <c r="G33" s="530"/>
    </row>
    <row r="34" spans="1:7" ht="27.75" customHeight="1">
      <c r="A34" s="305"/>
      <c r="B34" s="91" t="s">
        <v>606</v>
      </c>
      <c r="C34" s="91" t="s">
        <v>44</v>
      </c>
      <c r="D34" s="114">
        <v>0.291</v>
      </c>
      <c r="E34" s="114">
        <f>E33*D34</f>
        <v>6.693</v>
      </c>
      <c r="F34" s="532"/>
      <c r="G34" s="580"/>
    </row>
    <row r="35" spans="1:7" ht="29.25" customHeight="1">
      <c r="A35" s="305"/>
      <c r="B35" s="91" t="s">
        <v>618</v>
      </c>
      <c r="C35" s="91" t="s">
        <v>53</v>
      </c>
      <c r="D35" s="114">
        <v>1</v>
      </c>
      <c r="E35" s="121">
        <f>D35*E33</f>
        <v>23</v>
      </c>
      <c r="F35" s="516"/>
      <c r="G35" s="537"/>
    </row>
    <row r="36" spans="1:7" ht="21.75" customHeight="1">
      <c r="A36" s="305"/>
      <c r="B36" s="92" t="s">
        <v>408</v>
      </c>
      <c r="C36" s="91" t="s">
        <v>53</v>
      </c>
      <c r="D36" s="114">
        <v>0.0828</v>
      </c>
      <c r="E36" s="86">
        <f>D36*E33</f>
        <v>1.9043999999999999</v>
      </c>
      <c r="F36" s="516"/>
      <c r="G36" s="537"/>
    </row>
    <row r="37" spans="1:7" ht="41.25" customHeight="1">
      <c r="A37" s="305">
        <v>4</v>
      </c>
      <c r="B37" s="248" t="s">
        <v>619</v>
      </c>
      <c r="C37" s="133" t="s">
        <v>572</v>
      </c>
      <c r="D37" s="305"/>
      <c r="E37" s="305">
        <v>550</v>
      </c>
      <c r="F37" s="506"/>
      <c r="G37" s="530"/>
    </row>
    <row r="38" spans="1:7" ht="27.75" customHeight="1">
      <c r="A38" s="305"/>
      <c r="B38" s="91" t="s">
        <v>407</v>
      </c>
      <c r="C38" s="91" t="s">
        <v>44</v>
      </c>
      <c r="D38" s="114">
        <v>0.15</v>
      </c>
      <c r="E38" s="86">
        <f>E37*D38</f>
        <v>82.5</v>
      </c>
      <c r="F38" s="532"/>
      <c r="G38" s="581"/>
    </row>
    <row r="39" spans="1:7" ht="18.75" customHeight="1">
      <c r="A39" s="306"/>
      <c r="B39" s="91" t="s">
        <v>620</v>
      </c>
      <c r="C39" s="91" t="s">
        <v>79</v>
      </c>
      <c r="D39" s="114">
        <v>1</v>
      </c>
      <c r="E39" s="86">
        <f>E37*D39</f>
        <v>550</v>
      </c>
      <c r="F39" s="536"/>
      <c r="G39" s="568"/>
    </row>
    <row r="40" spans="1:7" ht="21" customHeight="1">
      <c r="A40" s="306"/>
      <c r="B40" s="92" t="s">
        <v>408</v>
      </c>
      <c r="C40" s="92" t="s">
        <v>54</v>
      </c>
      <c r="D40" s="118">
        <v>0.0041</v>
      </c>
      <c r="E40" s="117">
        <f>E37*D40</f>
        <v>2.2550000000000003</v>
      </c>
      <c r="F40" s="582"/>
      <c r="G40" s="583"/>
    </row>
    <row r="41" spans="1:7" ht="17.25" customHeight="1">
      <c r="A41" s="307"/>
      <c r="B41" s="308" t="s">
        <v>573</v>
      </c>
      <c r="C41" s="307" t="s">
        <v>54</v>
      </c>
      <c r="D41" s="307"/>
      <c r="E41" s="307"/>
      <c r="F41" s="584"/>
      <c r="G41" s="585"/>
    </row>
    <row r="42" spans="1:7" ht="24.75" customHeight="1">
      <c r="A42" s="307"/>
      <c r="B42" s="308" t="s">
        <v>574</v>
      </c>
      <c r="C42" s="307" t="s">
        <v>54</v>
      </c>
      <c r="D42" s="307"/>
      <c r="E42" s="307"/>
      <c r="F42" s="586"/>
      <c r="G42" s="587"/>
    </row>
    <row r="43" spans="1:7" ht="27.75" customHeight="1">
      <c r="A43" s="306"/>
      <c r="B43" s="303" t="s">
        <v>576</v>
      </c>
      <c r="C43" s="306" t="s">
        <v>54</v>
      </c>
      <c r="D43" s="306"/>
      <c r="E43" s="306"/>
      <c r="F43" s="563"/>
      <c r="G43" s="585"/>
    </row>
    <row r="44" spans="1:7" ht="26.25" customHeight="1">
      <c r="A44" s="306"/>
      <c r="B44" s="303" t="s">
        <v>577</v>
      </c>
      <c r="C44" s="306" t="s">
        <v>54</v>
      </c>
      <c r="D44" s="306"/>
      <c r="E44" s="306"/>
      <c r="F44" s="576"/>
      <c r="G44" s="587"/>
    </row>
    <row r="45" spans="1:7" ht="31.5" customHeight="1">
      <c r="A45" s="306"/>
      <c r="B45" s="303" t="s">
        <v>393</v>
      </c>
      <c r="C45" s="306" t="s">
        <v>54</v>
      </c>
      <c r="D45" s="306"/>
      <c r="E45" s="309">
        <v>0.65</v>
      </c>
      <c r="F45" s="563"/>
      <c r="G45" s="575"/>
    </row>
    <row r="46" spans="1:7" ht="21" customHeight="1">
      <c r="A46" s="306"/>
      <c r="B46" s="303" t="s">
        <v>55</v>
      </c>
      <c r="C46" s="306" t="s">
        <v>54</v>
      </c>
      <c r="D46" s="306"/>
      <c r="E46" s="306"/>
      <c r="F46" s="563"/>
      <c r="G46" s="575"/>
    </row>
    <row r="47" spans="1:7" ht="27" customHeight="1">
      <c r="A47" s="306"/>
      <c r="B47" s="303" t="s">
        <v>340</v>
      </c>
      <c r="C47" s="306" t="s">
        <v>54</v>
      </c>
      <c r="D47" s="306"/>
      <c r="E47" s="309">
        <v>0.08</v>
      </c>
      <c r="F47" s="563"/>
      <c r="G47" s="575"/>
    </row>
    <row r="48" spans="1:7" ht="30" customHeight="1">
      <c r="A48" s="305"/>
      <c r="B48" s="248" t="s">
        <v>60</v>
      </c>
      <c r="C48" s="305" t="s">
        <v>54</v>
      </c>
      <c r="D48" s="305"/>
      <c r="E48" s="305"/>
      <c r="F48" s="506"/>
      <c r="G48" s="585"/>
    </row>
    <row r="49" spans="1:7" ht="20.25" customHeight="1">
      <c r="A49" s="211"/>
      <c r="B49" s="78"/>
      <c r="C49" s="211"/>
      <c r="D49" s="211"/>
      <c r="E49" s="211"/>
      <c r="F49" s="211"/>
      <c r="G49" s="211"/>
    </row>
    <row r="50" spans="1:7" ht="36.75" customHeight="1">
      <c r="A50" s="211"/>
      <c r="B50" s="468" t="s">
        <v>920</v>
      </c>
      <c r="C50" s="468"/>
      <c r="D50" s="468"/>
      <c r="E50" s="468"/>
      <c r="F50" s="468"/>
      <c r="G50" s="468"/>
    </row>
    <row r="51" spans="1:7" ht="13.5">
      <c r="A51" s="211"/>
      <c r="B51" s="78"/>
      <c r="C51" s="211"/>
      <c r="D51" s="310"/>
      <c r="E51" s="310"/>
      <c r="F51" s="310"/>
      <c r="G51" s="310"/>
    </row>
    <row r="52" spans="1:7" ht="13.5">
      <c r="A52" s="211"/>
      <c r="B52" s="78"/>
      <c r="C52" s="211"/>
      <c r="D52" s="310"/>
      <c r="E52" s="310"/>
      <c r="F52" s="310"/>
      <c r="G52" s="310"/>
    </row>
    <row r="53" spans="1:7" ht="13.5">
      <c r="A53" s="211"/>
      <c r="B53" s="78"/>
      <c r="C53" s="211"/>
      <c r="D53" s="310"/>
      <c r="E53" s="310"/>
      <c r="F53" s="310"/>
      <c r="G53" s="310"/>
    </row>
    <row r="54" spans="1:7" ht="13.5">
      <c r="A54" s="211"/>
      <c r="B54" s="78"/>
      <c r="C54" s="211"/>
      <c r="D54" s="310"/>
      <c r="E54" s="310"/>
      <c r="F54" s="310"/>
      <c r="G54" s="310"/>
    </row>
    <row r="55" spans="1:7" ht="13.5">
      <c r="A55" s="211"/>
      <c r="B55" s="78"/>
      <c r="C55" s="211"/>
      <c r="D55" s="310"/>
      <c r="E55" s="310"/>
      <c r="F55" s="310"/>
      <c r="G55" s="310"/>
    </row>
    <row r="56" spans="1:7" ht="13.5">
      <c r="A56" s="211"/>
      <c r="B56" s="78"/>
      <c r="C56" s="211"/>
      <c r="D56" s="310"/>
      <c r="E56" s="310"/>
      <c r="F56" s="310"/>
      <c r="G56" s="310"/>
    </row>
    <row r="57" spans="1:7" ht="13.5">
      <c r="A57" s="211"/>
      <c r="B57" s="78"/>
      <c r="C57" s="211"/>
      <c r="D57" s="310"/>
      <c r="E57" s="310"/>
      <c r="F57" s="310"/>
      <c r="G57" s="310"/>
    </row>
    <row r="58" spans="1:7" ht="13.5">
      <c r="A58" s="211"/>
      <c r="B58" s="78"/>
      <c r="C58" s="211"/>
      <c r="D58" s="310"/>
      <c r="E58" s="310"/>
      <c r="F58" s="310"/>
      <c r="G58" s="310"/>
    </row>
    <row r="59" spans="1:7" ht="13.5">
      <c r="A59" s="211"/>
      <c r="B59" s="78"/>
      <c r="C59" s="211"/>
      <c r="D59" s="310"/>
      <c r="E59" s="310"/>
      <c r="F59" s="310"/>
      <c r="G59" s="310"/>
    </row>
    <row r="60" spans="1:7" ht="13.5">
      <c r="A60" s="211"/>
      <c r="B60" s="78"/>
      <c r="C60" s="211"/>
      <c r="D60" s="310"/>
      <c r="E60" s="310"/>
      <c r="F60" s="310"/>
      <c r="G60" s="310"/>
    </row>
    <row r="61" spans="1:7" ht="13.5">
      <c r="A61" s="211"/>
      <c r="B61" s="78"/>
      <c r="C61" s="211"/>
      <c r="D61" s="310"/>
      <c r="E61" s="310"/>
      <c r="F61" s="310"/>
      <c r="G61" s="310"/>
    </row>
    <row r="62" spans="1:7" ht="13.5">
      <c r="A62" s="211"/>
      <c r="B62" s="78"/>
      <c r="C62" s="211"/>
      <c r="D62" s="310"/>
      <c r="E62" s="310"/>
      <c r="F62" s="310"/>
      <c r="G62" s="310"/>
    </row>
    <row r="63" spans="1:7" ht="13.5">
      <c r="A63" s="211"/>
      <c r="B63" s="78"/>
      <c r="C63" s="211"/>
      <c r="D63" s="310"/>
      <c r="E63" s="310"/>
      <c r="F63" s="310"/>
      <c r="G63" s="310"/>
    </row>
    <row r="64" spans="1:7" ht="13.5">
      <c r="A64" s="211"/>
      <c r="B64" s="78"/>
      <c r="C64" s="211"/>
      <c r="D64" s="310"/>
      <c r="E64" s="310"/>
      <c r="F64" s="310"/>
      <c r="G64" s="310"/>
    </row>
    <row r="65" spans="1:7" ht="13.5">
      <c r="A65" s="211"/>
      <c r="B65" s="78"/>
      <c r="C65" s="211"/>
      <c r="D65" s="310"/>
      <c r="E65" s="310"/>
      <c r="F65" s="310"/>
      <c r="G65" s="310"/>
    </row>
    <row r="66" spans="1:7" ht="13.5">
      <c r="A66" s="211"/>
      <c r="B66" s="78"/>
      <c r="C66" s="211"/>
      <c r="D66" s="310"/>
      <c r="E66" s="310"/>
      <c r="F66" s="310"/>
      <c r="G66" s="310"/>
    </row>
    <row r="67" spans="1:7" ht="13.5">
      <c r="A67" s="211"/>
      <c r="B67" s="78"/>
      <c r="C67" s="211"/>
      <c r="D67" s="310"/>
      <c r="E67" s="310"/>
      <c r="F67" s="310"/>
      <c r="G67" s="310"/>
    </row>
    <row r="68" spans="1:7" ht="13.5">
      <c r="A68" s="211"/>
      <c r="B68" s="78"/>
      <c r="C68" s="211"/>
      <c r="D68" s="310"/>
      <c r="E68" s="310"/>
      <c r="F68" s="310"/>
      <c r="G68" s="310"/>
    </row>
    <row r="69" spans="1:7" ht="13.5">
      <c r="A69" s="211"/>
      <c r="B69" s="78"/>
      <c r="C69" s="211"/>
      <c r="D69" s="310"/>
      <c r="E69" s="310"/>
      <c r="F69" s="310"/>
      <c r="G69" s="310"/>
    </row>
    <row r="70" spans="1:7" ht="13.5">
      <c r="A70" s="211"/>
      <c r="B70" s="78"/>
      <c r="C70" s="211"/>
      <c r="D70" s="310"/>
      <c r="E70" s="310"/>
      <c r="F70" s="310"/>
      <c r="G70" s="310"/>
    </row>
    <row r="71" spans="1:7" ht="12.75">
      <c r="A71" s="310"/>
      <c r="B71" s="311"/>
      <c r="C71" s="310"/>
      <c r="D71" s="310"/>
      <c r="E71" s="310"/>
      <c r="F71" s="310"/>
      <c r="G71" s="310"/>
    </row>
    <row r="72" spans="1:7" ht="12.75">
      <c r="A72" s="310"/>
      <c r="B72" s="311"/>
      <c r="C72" s="310"/>
      <c r="D72" s="310"/>
      <c r="E72" s="310"/>
      <c r="F72" s="310"/>
      <c r="G72" s="310"/>
    </row>
    <row r="73" spans="1:7" ht="12.75">
      <c r="A73" s="310"/>
      <c r="B73" s="311"/>
      <c r="C73" s="310"/>
      <c r="D73" s="310"/>
      <c r="E73" s="310"/>
      <c r="F73" s="310"/>
      <c r="G73" s="310"/>
    </row>
    <row r="74" spans="1:7" ht="12.75">
      <c r="A74" s="310"/>
      <c r="B74" s="311"/>
      <c r="C74" s="310"/>
      <c r="D74" s="310"/>
      <c r="E74" s="310"/>
      <c r="F74" s="310"/>
      <c r="G74" s="310"/>
    </row>
    <row r="75" spans="1:7" ht="12.75">
      <c r="A75" s="310"/>
      <c r="B75" s="311"/>
      <c r="C75" s="310"/>
      <c r="D75" s="310"/>
      <c r="E75" s="310"/>
      <c r="F75" s="310"/>
      <c r="G75" s="310"/>
    </row>
    <row r="76" spans="1:7" ht="12.75">
      <c r="A76" s="310"/>
      <c r="B76" s="311"/>
      <c r="C76" s="310"/>
      <c r="D76" s="310"/>
      <c r="E76" s="310"/>
      <c r="F76" s="310"/>
      <c r="G76" s="310"/>
    </row>
    <row r="77" spans="1:7" ht="12.75">
      <c r="A77" s="310"/>
      <c r="B77" s="311"/>
      <c r="C77" s="310"/>
      <c r="D77" s="310"/>
      <c r="E77" s="310"/>
      <c r="F77" s="310"/>
      <c r="G77" s="310"/>
    </row>
    <row r="78" spans="1:7" ht="12.75">
      <c r="A78" s="310"/>
      <c r="B78" s="311"/>
      <c r="C78" s="310"/>
      <c r="D78" s="310"/>
      <c r="E78" s="310"/>
      <c r="F78" s="310"/>
      <c r="G78" s="310"/>
    </row>
    <row r="79" spans="1:7" ht="12.75">
      <c r="A79" s="310"/>
      <c r="B79" s="311"/>
      <c r="C79" s="310"/>
      <c r="D79" s="310"/>
      <c r="E79" s="310"/>
      <c r="F79" s="310"/>
      <c r="G79" s="310"/>
    </row>
    <row r="80" spans="1:7" ht="12.75">
      <c r="A80" s="310"/>
      <c r="B80" s="311"/>
      <c r="C80" s="310"/>
      <c r="D80" s="310"/>
      <c r="E80" s="310"/>
      <c r="F80" s="310"/>
      <c r="G80" s="310"/>
    </row>
    <row r="81" spans="1:7" ht="12.75">
      <c r="A81" s="310"/>
      <c r="B81" s="311"/>
      <c r="C81" s="310"/>
      <c r="D81" s="310"/>
      <c r="E81" s="310"/>
      <c r="F81" s="310"/>
      <c r="G81" s="310"/>
    </row>
    <row r="82" spans="1:7" ht="12.75">
      <c r="A82" s="310"/>
      <c r="B82" s="311"/>
      <c r="C82" s="310"/>
      <c r="D82" s="310"/>
      <c r="E82" s="310"/>
      <c r="F82" s="310"/>
      <c r="G82" s="310"/>
    </row>
    <row r="83" ht="12.75">
      <c r="B83" s="312"/>
    </row>
    <row r="84" ht="12.75">
      <c r="B84" s="312"/>
    </row>
  </sheetData>
  <sheetProtection password="CF2D" sheet="1"/>
  <mergeCells count="9">
    <mergeCell ref="B50:G50"/>
    <mergeCell ref="A1:G1"/>
    <mergeCell ref="A2:G2"/>
    <mergeCell ref="A3:G3"/>
    <mergeCell ref="A4:A5"/>
    <mergeCell ref="B4:B5"/>
    <mergeCell ref="C4:C5"/>
    <mergeCell ref="D4:E4"/>
    <mergeCell ref="F4:G4"/>
  </mergeCells>
  <printOptions/>
  <pageMargins left="0.7" right="0.59" top="0.75" bottom="0.75" header="0.32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9" sqref="E9:F19"/>
    </sheetView>
  </sheetViews>
  <sheetFormatPr defaultColWidth="9.140625" defaultRowHeight="12.75"/>
  <cols>
    <col min="1" max="1" width="5.7109375" style="0" customWidth="1"/>
    <col min="2" max="2" width="38.57421875" style="0" customWidth="1"/>
    <col min="3" max="3" width="7.8515625" style="0" customWidth="1"/>
    <col min="4" max="4" width="7.421875" style="0" customWidth="1"/>
    <col min="5" max="5" width="11.28125" style="0" customWidth="1"/>
    <col min="6" max="6" width="14.57421875" style="0" customWidth="1"/>
  </cols>
  <sheetData>
    <row r="1" spans="1:6" ht="52.5" customHeight="1">
      <c r="A1" s="493" t="s">
        <v>824</v>
      </c>
      <c r="B1" s="494"/>
      <c r="C1" s="494"/>
      <c r="D1" s="494"/>
      <c r="E1" s="494"/>
      <c r="F1" s="494"/>
    </row>
    <row r="2" spans="1:6" ht="9" customHeight="1">
      <c r="A2" s="319"/>
      <c r="B2" s="319"/>
      <c r="C2" s="319"/>
      <c r="D2" s="319"/>
      <c r="E2" s="319"/>
      <c r="F2" s="319"/>
    </row>
    <row r="3" spans="1:6" ht="15">
      <c r="A3" s="494" t="s">
        <v>600</v>
      </c>
      <c r="B3" s="494"/>
      <c r="C3" s="494"/>
      <c r="D3" s="494"/>
      <c r="E3" s="494"/>
      <c r="F3" s="494"/>
    </row>
    <row r="4" spans="1:6" ht="20.25" customHeight="1">
      <c r="A4" s="494" t="s">
        <v>589</v>
      </c>
      <c r="B4" s="494"/>
      <c r="C4" s="494"/>
      <c r="D4" s="494"/>
      <c r="E4" s="494"/>
      <c r="F4" s="494"/>
    </row>
    <row r="5" spans="1:6" ht="15">
      <c r="A5" s="320"/>
      <c r="B5" s="320"/>
      <c r="C5" s="320"/>
      <c r="D5" s="320"/>
      <c r="E5" s="320"/>
      <c r="F5" s="320"/>
    </row>
    <row r="6" spans="1:6" ht="35.25" customHeight="1">
      <c r="A6" s="488" t="s">
        <v>590</v>
      </c>
      <c r="B6" s="488" t="s">
        <v>47</v>
      </c>
      <c r="C6" s="488" t="s">
        <v>591</v>
      </c>
      <c r="D6" s="488" t="s">
        <v>48</v>
      </c>
      <c r="E6" s="488" t="s">
        <v>592</v>
      </c>
      <c r="F6" s="488"/>
    </row>
    <row r="7" spans="1:6" ht="30">
      <c r="A7" s="488"/>
      <c r="B7" s="488"/>
      <c r="C7" s="488"/>
      <c r="D7" s="488"/>
      <c r="E7" s="240" t="s">
        <v>65</v>
      </c>
      <c r="F7" s="240" t="s">
        <v>574</v>
      </c>
    </row>
    <row r="8" spans="1:6" ht="21.75" customHeight="1">
      <c r="A8" s="321" t="s">
        <v>51</v>
      </c>
      <c r="B8" s="321" t="s">
        <v>112</v>
      </c>
      <c r="C8" s="321" t="s">
        <v>113</v>
      </c>
      <c r="D8" s="321" t="s">
        <v>71</v>
      </c>
      <c r="E8" s="321" t="s">
        <v>126</v>
      </c>
      <c r="F8" s="321" t="s">
        <v>121</v>
      </c>
    </row>
    <row r="9" spans="1:6" ht="34.5" customHeight="1">
      <c r="A9" s="335"/>
      <c r="B9" s="407" t="s">
        <v>593</v>
      </c>
      <c r="C9" s="322"/>
      <c r="D9" s="323"/>
      <c r="E9" s="589"/>
      <c r="F9" s="589"/>
    </row>
    <row r="10" spans="1:6" ht="90.75" customHeight="1">
      <c r="A10" s="331" t="s">
        <v>51</v>
      </c>
      <c r="B10" s="439" t="s">
        <v>621</v>
      </c>
      <c r="C10" s="324" t="s">
        <v>594</v>
      </c>
      <c r="D10" s="325" t="s">
        <v>51</v>
      </c>
      <c r="E10" s="590"/>
      <c r="F10" s="591"/>
    </row>
    <row r="11" spans="1:6" ht="20.25" customHeight="1">
      <c r="A11" s="331"/>
      <c r="B11" s="321" t="s">
        <v>595</v>
      </c>
      <c r="C11" s="326" t="s">
        <v>54</v>
      </c>
      <c r="D11" s="323"/>
      <c r="E11" s="590"/>
      <c r="F11" s="590"/>
    </row>
    <row r="12" spans="1:6" ht="35.25" customHeight="1">
      <c r="A12" s="331"/>
      <c r="B12" s="321" t="s">
        <v>596</v>
      </c>
      <c r="C12" s="324" t="s">
        <v>54</v>
      </c>
      <c r="D12" s="325"/>
      <c r="E12" s="591"/>
      <c r="F12" s="592"/>
    </row>
    <row r="13" spans="1:6" ht="20.25" customHeight="1">
      <c r="A13" s="331"/>
      <c r="B13" s="321" t="s">
        <v>597</v>
      </c>
      <c r="C13" s="328" t="s">
        <v>54</v>
      </c>
      <c r="D13" s="329"/>
      <c r="E13" s="590"/>
      <c r="F13" s="592"/>
    </row>
    <row r="14" spans="1:6" ht="32.25" customHeight="1">
      <c r="A14" s="331"/>
      <c r="B14" s="321" t="s">
        <v>599</v>
      </c>
      <c r="C14" s="328" t="s">
        <v>54</v>
      </c>
      <c r="D14" s="325"/>
      <c r="E14" s="590"/>
      <c r="F14" s="592"/>
    </row>
    <row r="15" spans="1:6" ht="39.75" customHeight="1">
      <c r="A15" s="331"/>
      <c r="B15" s="338" t="s">
        <v>598</v>
      </c>
      <c r="C15" s="326" t="s">
        <v>54</v>
      </c>
      <c r="D15" s="323"/>
      <c r="E15" s="590"/>
      <c r="F15" s="592"/>
    </row>
    <row r="16" spans="1:6" ht="23.25" customHeight="1">
      <c r="A16" s="331"/>
      <c r="B16" s="441" t="s">
        <v>921</v>
      </c>
      <c r="C16" s="327"/>
      <c r="D16" s="329"/>
      <c r="E16" s="592"/>
      <c r="F16" s="592"/>
    </row>
    <row r="17" spans="1:6" ht="68.25" customHeight="1">
      <c r="A17" s="331" t="s">
        <v>51</v>
      </c>
      <c r="B17" s="321" t="s">
        <v>601</v>
      </c>
      <c r="C17" s="326" t="s">
        <v>594</v>
      </c>
      <c r="D17" s="323" t="s">
        <v>51</v>
      </c>
      <c r="E17" s="590"/>
      <c r="F17" s="592"/>
    </row>
    <row r="18" spans="1:6" ht="30.75" customHeight="1">
      <c r="A18" s="331"/>
      <c r="B18" s="321" t="s">
        <v>622</v>
      </c>
      <c r="C18" s="321" t="s">
        <v>54</v>
      </c>
      <c r="D18" s="335"/>
      <c r="E18" s="590"/>
      <c r="F18" s="592"/>
    </row>
    <row r="19" spans="1:6" ht="30.75" customHeight="1">
      <c r="A19" s="331"/>
      <c r="B19" s="440" t="s">
        <v>623</v>
      </c>
      <c r="C19" s="338" t="s">
        <v>54</v>
      </c>
      <c r="D19" s="339"/>
      <c r="E19" s="593"/>
      <c r="F19" s="594"/>
    </row>
    <row r="20" spans="1:6" ht="13.5">
      <c r="A20" s="332"/>
      <c r="B20" s="333"/>
      <c r="C20" s="332"/>
      <c r="D20" s="329"/>
      <c r="E20" s="334"/>
      <c r="F20" s="334"/>
    </row>
    <row r="21" spans="1:6" ht="8.25" customHeight="1">
      <c r="A21" s="332"/>
      <c r="B21" s="333"/>
      <c r="C21" s="332"/>
      <c r="D21" s="329"/>
      <c r="E21" s="334"/>
      <c r="F21" s="334"/>
    </row>
    <row r="22" spans="1:6" ht="33" customHeight="1">
      <c r="A22" s="332"/>
      <c r="B22" s="487" t="s">
        <v>920</v>
      </c>
      <c r="C22" s="487"/>
      <c r="D22" s="487"/>
      <c r="E22" s="487"/>
      <c r="F22" s="487"/>
    </row>
    <row r="23" spans="1:6" ht="15">
      <c r="A23" s="332"/>
      <c r="B23" s="489"/>
      <c r="C23" s="489"/>
      <c r="D23" s="489"/>
      <c r="E23" s="489"/>
      <c r="F23" s="489"/>
    </row>
    <row r="24" spans="1:6" ht="13.5">
      <c r="A24" s="332"/>
      <c r="B24" s="490"/>
      <c r="C24" s="490"/>
      <c r="D24" s="490"/>
      <c r="E24" s="490"/>
      <c r="F24" s="490"/>
    </row>
    <row r="25" spans="1:6" ht="13.5">
      <c r="A25" s="332"/>
      <c r="B25" s="332"/>
      <c r="C25" s="332"/>
      <c r="D25" s="329"/>
      <c r="E25" s="330"/>
      <c r="F25" s="330"/>
    </row>
    <row r="26" spans="1:6" ht="13.5">
      <c r="A26" s="332"/>
      <c r="B26" s="332"/>
      <c r="C26" s="332"/>
      <c r="D26" s="329"/>
      <c r="E26" s="330"/>
      <c r="F26" s="330"/>
    </row>
    <row r="27" spans="1:6" ht="13.5">
      <c r="A27" s="491"/>
      <c r="B27" s="492"/>
      <c r="C27" s="490"/>
      <c r="D27" s="490"/>
      <c r="E27" s="490"/>
      <c r="F27" s="490"/>
    </row>
    <row r="28" spans="1:6" ht="13.5">
      <c r="A28" s="491"/>
      <c r="B28" s="492"/>
      <c r="C28" s="490"/>
      <c r="D28" s="490"/>
      <c r="E28" s="332"/>
      <c r="F28" s="332"/>
    </row>
    <row r="29" spans="1:6" ht="12.75">
      <c r="A29" s="329"/>
      <c r="B29" s="329"/>
      <c r="C29" s="329"/>
      <c r="D29" s="329"/>
      <c r="E29" s="329"/>
      <c r="F29" s="329"/>
    </row>
  </sheetData>
  <sheetProtection password="CF2D" sheet="1"/>
  <mergeCells count="16">
    <mergeCell ref="B6:B7"/>
    <mergeCell ref="C6:C7"/>
    <mergeCell ref="D6:D7"/>
    <mergeCell ref="A1:F1"/>
    <mergeCell ref="A3:F3"/>
    <mergeCell ref="A4:F4"/>
    <mergeCell ref="B22:F22"/>
    <mergeCell ref="E6:F6"/>
    <mergeCell ref="B23:F23"/>
    <mergeCell ref="B24:F24"/>
    <mergeCell ref="A27:A28"/>
    <mergeCell ref="B27:B28"/>
    <mergeCell ref="C27:C28"/>
    <mergeCell ref="D27:D28"/>
    <mergeCell ref="E27:F27"/>
    <mergeCell ref="A6:A7"/>
  </mergeCells>
  <printOptions/>
  <pageMargins left="0.5" right="0.4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jsurmanidze</cp:lastModifiedBy>
  <cp:lastPrinted>2015-04-16T08:24:56Z</cp:lastPrinted>
  <dcterms:created xsi:type="dcterms:W3CDTF">1996-10-14T23:33:28Z</dcterms:created>
  <dcterms:modified xsi:type="dcterms:W3CDTF">2015-04-16T12:16:17Z</dcterms:modified>
  <cp:category/>
  <cp:version/>
  <cp:contentType/>
  <cp:contentStatus/>
</cp:coreProperties>
</file>