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9230" windowHeight="5100" tabRatio="845" activeTab="0"/>
  </bookViews>
  <sheets>
    <sheet name="სოფ. წინუბანი. სკოლის გვ." sheetId="1" r:id="rId1"/>
    <sheet name="T.C. სამშ.-მოსაპ." sheetId="2" state="hidden" r:id="rId2"/>
  </sheets>
  <externalReferences>
    <externalReference r:id="rId5"/>
  </externalReferences>
  <definedNames>
    <definedName name="_xlnm._FilterDatabase" localSheetId="1" hidden="1">'T.C. სამშ.-მოსაპ.'!$A$9:$P$336</definedName>
    <definedName name="_xlnm._FilterDatabase" localSheetId="0" hidden="1">'სოფ. წინუბანი. სკოლის გვ.'!$A$7:$O$169</definedName>
    <definedName name="_xlnm.Print_Area" localSheetId="1">'T.C. სამშ.-მოსაპ.'!$A$1:$N$353</definedName>
    <definedName name="_xlnm.Print_Area" localSheetId="0">'სოფ. წინუბანი. სკოლის გვ.'!$A$1:$M$180</definedName>
    <definedName name="_xlnm.Print_Titles" localSheetId="1">'T.C. სამშ.-მოსაპ.'!$9:$9</definedName>
    <definedName name="_xlnm.Print_Titles" localSheetId="0">'სოფ. წინუბანი. სკოლის გვ.'!$7:$7</definedName>
    <definedName name="Summary" localSheetId="0">#REF!</definedName>
    <definedName name="Summary">#REF!</definedName>
  </definedNames>
  <calcPr fullCalcOnLoad="1"/>
</workbook>
</file>

<file path=xl/sharedStrings.xml><?xml version="1.0" encoding="utf-8"?>
<sst xmlns="http://schemas.openxmlformats.org/spreadsheetml/2006/main" count="1077" uniqueCount="311">
  <si>
    <t>ganz. erT.</t>
  </si>
  <si>
    <t>samuSaoebis da danaxarjebis dasaxeleba</t>
  </si>
  <si>
    <t>samSeneblo samuSaoebi</t>
  </si>
  <si>
    <t>#</t>
  </si>
  <si>
    <t>normativis nomeri da Sifri</t>
  </si>
  <si>
    <t>grZ.m.</t>
  </si>
  <si>
    <t>tona</t>
  </si>
  <si>
    <t>jami</t>
  </si>
  <si>
    <t xml:space="preserve">sul </t>
  </si>
  <si>
    <t>gegmiuri dagroveba</t>
  </si>
  <si>
    <t>cali</t>
  </si>
  <si>
    <t>Seadgina:</t>
  </si>
  <si>
    <t>Sromis danaxarjebi</t>
  </si>
  <si>
    <t>zednadebi xarjebi</t>
  </si>
  <si>
    <t>-</t>
  </si>
  <si>
    <t>11-8-1-2</t>
  </si>
  <si>
    <t>11-20-3</t>
  </si>
  <si>
    <t>15-168-7</t>
  </si>
  <si>
    <t>Werebis SeRebva wyalemulsiuri saRebaviT</t>
  </si>
  <si>
    <t>wyalemulsiuri saRebavi</t>
  </si>
  <si>
    <t>safiTxni</t>
  </si>
  <si>
    <t>15-14-1</t>
  </si>
  <si>
    <t>15-168-8</t>
  </si>
  <si>
    <t>10-20-1</t>
  </si>
  <si>
    <t>/                   /</t>
  </si>
  <si>
    <t>სამშენებლო-მოსაპირკეთებელი სამუშაოები</t>
  </si>
  <si>
    <t xml:space="preserve">kafeli </t>
  </si>
  <si>
    <t>kafelis kuTxovana</t>
  </si>
  <si>
    <t>sul</t>
  </si>
  <si>
    <t>jami:</t>
  </si>
  <si>
    <t>15-164-1</t>
  </si>
  <si>
    <t>webocementi</t>
  </si>
  <si>
    <t>xis masala</t>
  </si>
  <si>
    <t>12-8-5</t>
  </si>
  <si>
    <t>eleqtrodi d=4mm</t>
  </si>
  <si>
    <t>m2</t>
  </si>
  <si>
    <t>fasadis wyalemulsiuri saRebavi</t>
  </si>
  <si>
    <t>yalibis fari</t>
  </si>
  <si>
    <t>xelfasi</t>
  </si>
  <si>
    <t>sul, jami:</t>
  </si>
  <si>
    <t>ganz. erT-ze</t>
  </si>
  <si>
    <t>masala</t>
  </si>
  <si>
    <t>koef.</t>
  </si>
  <si>
    <t>gruntis damuSaveba eqskavatoriT da datvirTva avtoTviTmclelebze</t>
  </si>
  <si>
    <t>gruntis damuSaveba xeliT da datvirTva avtoTviTmclelebze</t>
  </si>
  <si>
    <t>transporti (meqanizmebi)</t>
  </si>
  <si>
    <t>miwis samuSaoebi</t>
  </si>
  <si>
    <t>avtoTviTmcleli</t>
  </si>
  <si>
    <r>
      <t xml:space="preserve">armatura </t>
    </r>
    <r>
      <rPr>
        <sz val="11"/>
        <rFont val="Arial"/>
        <family val="2"/>
      </rPr>
      <t>A-III</t>
    </r>
  </si>
  <si>
    <r>
      <t>m</t>
    </r>
    <r>
      <rPr>
        <vertAlign val="superscript"/>
        <sz val="11"/>
        <rFont val="AcadNusx"/>
        <family val="0"/>
      </rPr>
      <t>3</t>
    </r>
  </si>
  <si>
    <r>
      <t>m</t>
    </r>
    <r>
      <rPr>
        <b/>
        <vertAlign val="superscript"/>
        <sz val="11"/>
        <rFont val="AcadNusx"/>
        <family val="0"/>
      </rPr>
      <t>3</t>
    </r>
  </si>
  <si>
    <t>praimeri</t>
  </si>
  <si>
    <r>
      <t xml:space="preserve">betoni </t>
    </r>
    <r>
      <rPr>
        <sz val="11"/>
        <rFont val="Arial"/>
        <family val="2"/>
      </rPr>
      <t>B7.5</t>
    </r>
  </si>
  <si>
    <t>iatakebze moWimvebis mowyoba qviSa-cementis xsnariT, sisqiT 50mm</t>
  </si>
  <si>
    <t>fuga</t>
  </si>
  <si>
    <t xml:space="preserve"> keramograniti</t>
  </si>
  <si>
    <t>fasadis kedlebis SefiTxvna da SeRebva fasadis wyalemulsiuri saRebaviT</t>
  </si>
  <si>
    <t>fasadis safiTxni</t>
  </si>
  <si>
    <t xml:space="preserve">mdf karebis bloki (aqsesuarebiT) </t>
  </si>
  <si>
    <t>GEL</t>
  </si>
  <si>
    <t>USD</t>
  </si>
  <si>
    <t>gauTvaliswinebeli xarjebi</t>
  </si>
  <si>
    <t>dRg</t>
  </si>
  <si>
    <t>mosapirkeTebeli samuSaoebi</t>
  </si>
  <si>
    <t>liTonis profili</t>
  </si>
  <si>
    <t>WanWiki samSeneblo</t>
  </si>
  <si>
    <t>nestgamZle TabaSirmuyaos fila 12.5mm</t>
  </si>
  <si>
    <r>
      <t>Weris mowyoba nestgamZle TabaSirmuyaos filebiT</t>
    </r>
    <r>
      <rPr>
        <sz val="11"/>
        <rFont val="Arial"/>
        <family val="2"/>
      </rPr>
      <t xml:space="preserve"> (WC)</t>
    </r>
  </si>
  <si>
    <t>_</t>
  </si>
  <si>
    <t>fasadis moCarCoeba</t>
  </si>
  <si>
    <t>Tunuqis Jolobi</t>
  </si>
  <si>
    <t>Zabri</t>
  </si>
  <si>
    <t>muxli</t>
  </si>
  <si>
    <t>12-8-1</t>
  </si>
  <si>
    <r>
      <t xml:space="preserve">SeRebili Tunuqis oTxkuTxedi mili </t>
    </r>
    <r>
      <rPr>
        <sz val="11"/>
        <rFont val="Calibri"/>
        <family val="2"/>
      </rPr>
      <t>Ø</t>
    </r>
    <r>
      <rPr>
        <sz val="11"/>
        <rFont val="AcadNusx"/>
        <family val="0"/>
      </rPr>
      <t>100mm</t>
    </r>
  </si>
  <si>
    <t>kompresori</t>
  </si>
  <si>
    <t>eqskavatori</t>
  </si>
  <si>
    <t>6-1-5</t>
  </si>
  <si>
    <t>furclovani foladi -12mm sisqis</t>
  </si>
  <si>
    <t>furclovani foladi -10mm sisqis</t>
  </si>
  <si>
    <t>manq/sT</t>
  </si>
  <si>
    <t>kg.</t>
  </si>
  <si>
    <t>liTonis konstruqciebis SeRebva antikoroziuli saRebaviT</t>
  </si>
  <si>
    <t>antikoroziuli saRebavi</t>
  </si>
  <si>
    <t xml:space="preserve"> saRebavis gamxsneli</t>
  </si>
  <si>
    <t>liTonis saWreli diski</t>
  </si>
  <si>
    <t>linokromis zeda fena</t>
  </si>
  <si>
    <t>gazi</t>
  </si>
  <si>
    <t>metlaxi</t>
  </si>
  <si>
    <t>qviSa</t>
  </si>
  <si>
    <t>cementi</t>
  </si>
  <si>
    <t>qviSa-cementis xsnari m100</t>
  </si>
  <si>
    <t>aluminis vitraJebi</t>
  </si>
  <si>
    <t>aluminis karebi</t>
  </si>
  <si>
    <t>sabazro</t>
  </si>
  <si>
    <r>
      <t xml:space="preserve">keramikuli filebis gakvra kedlebze </t>
    </r>
    <r>
      <rPr>
        <sz val="11"/>
        <rFont val="Arial"/>
        <family val="2"/>
      </rPr>
      <t>(WC)</t>
    </r>
  </si>
  <si>
    <t>pemza</t>
  </si>
  <si>
    <t>linokromis qveda fena</t>
  </si>
  <si>
    <t>dekoratiuli qaRaldi</t>
  </si>
  <si>
    <t>samaliaro kuTxovana</t>
  </si>
  <si>
    <t>samaliaro binti</t>
  </si>
  <si>
    <t>"armstrongis" filebi</t>
  </si>
  <si>
    <r>
      <t xml:space="preserve">armatura </t>
    </r>
    <r>
      <rPr>
        <sz val="11"/>
        <rFont val="Arial"/>
        <family val="2"/>
      </rPr>
      <t>A-I</t>
    </r>
  </si>
  <si>
    <r>
      <t xml:space="preserve"> betoni </t>
    </r>
    <r>
      <rPr>
        <sz val="11"/>
        <rFont val="Arial"/>
        <family val="2"/>
      </rPr>
      <t>B25</t>
    </r>
  </si>
  <si>
    <t>srf. 12-8</t>
  </si>
  <si>
    <t>raod.</t>
  </si>
  <si>
    <t>1-80-3</t>
  </si>
  <si>
    <t>1-84-1 gam.</t>
  </si>
  <si>
    <t>kldovani gruntis damuSaveba xeliT da datvirTva avtoTviTmclelebze</t>
  </si>
  <si>
    <t>kldovani gruntis damuSaveba eqskavatoriT da datvirTva avtoTviTmclelebze</t>
  </si>
  <si>
    <t>srf. 12-9</t>
  </si>
  <si>
    <t>gruntis gatana avtoTviTmclelebiT 0,5 km-ze manZilze</t>
  </si>
  <si>
    <t>srf. 13-1 gam.</t>
  </si>
  <si>
    <r>
      <t xml:space="preserve">monoliTuri betonis momzadebis mowyoba </t>
    </r>
    <r>
      <rPr>
        <sz val="11"/>
        <rFont val="AcadNusx"/>
        <family val="0"/>
      </rPr>
      <t>(wertilovani saZirkvlebis)</t>
    </r>
  </si>
  <si>
    <r>
      <t xml:space="preserve">monoliTuri r/b wertilovani saZirkvlebis mowyoba </t>
    </r>
    <r>
      <rPr>
        <sz val="11"/>
        <rFont val="AcadNusx"/>
        <family val="0"/>
      </rPr>
      <t>(ws-1 - 18cali; ws-2 - 1 cali; ws-3 - 11 cali)</t>
    </r>
  </si>
  <si>
    <t>furclovani foladi -20mm sisqis (700*700*25)</t>
  </si>
  <si>
    <t>furclovani foladi -20mm sisqis (700*700*20)</t>
  </si>
  <si>
    <r>
      <t xml:space="preserve"> betoni </t>
    </r>
    <r>
      <rPr>
        <sz val="11"/>
        <color indexed="8"/>
        <rFont val="Arial"/>
        <family val="2"/>
      </rPr>
      <t>B25</t>
    </r>
  </si>
  <si>
    <t>6-16-3-gam.</t>
  </si>
  <si>
    <r>
      <t>m</t>
    </r>
    <r>
      <rPr>
        <b/>
        <vertAlign val="superscript"/>
        <sz val="11"/>
        <color indexed="8"/>
        <rFont val="AcadNusx"/>
        <family val="0"/>
      </rPr>
      <t>3</t>
    </r>
  </si>
  <si>
    <r>
      <t>m</t>
    </r>
    <r>
      <rPr>
        <vertAlign val="superscript"/>
        <sz val="11"/>
        <color indexed="8"/>
        <rFont val="AcadNusx"/>
        <family val="0"/>
      </rPr>
      <t>3</t>
    </r>
  </si>
  <si>
    <r>
      <t xml:space="preserve">armatura </t>
    </r>
    <r>
      <rPr>
        <sz val="11"/>
        <color indexed="8"/>
        <rFont val="Arial"/>
        <family val="2"/>
      </rPr>
      <t>A-I</t>
    </r>
  </si>
  <si>
    <r>
      <t>m</t>
    </r>
    <r>
      <rPr>
        <vertAlign val="superscript"/>
        <sz val="11"/>
        <color indexed="8"/>
        <rFont val="AcadNusx"/>
        <family val="0"/>
      </rPr>
      <t>2</t>
    </r>
  </si>
  <si>
    <t>6-14-5</t>
  </si>
  <si>
    <t>monoliTuri r/b kedlis mowyoba</t>
  </si>
  <si>
    <r>
      <t xml:space="preserve">monoliTuri r/b iatakis filis mowyoba </t>
    </r>
    <r>
      <rPr>
        <sz val="11"/>
        <rFont val="AcadNusx"/>
        <family val="0"/>
      </rPr>
      <t>(-3,50 niSnulze)</t>
    </r>
  </si>
  <si>
    <t>liTonis svetebis mowyoba</t>
  </si>
  <si>
    <t>9-8-1 gam.</t>
  </si>
  <si>
    <r>
      <t xml:space="preserve">liTonis mili </t>
    </r>
    <r>
      <rPr>
        <sz val="11"/>
        <rFont val="Arial"/>
        <family val="2"/>
      </rPr>
      <t>Ø</t>
    </r>
    <r>
      <rPr>
        <sz val="11"/>
        <rFont val="AcadNusx"/>
        <family val="0"/>
      </rPr>
      <t>237*8</t>
    </r>
  </si>
  <si>
    <r>
      <t xml:space="preserve">liTonis mili </t>
    </r>
    <r>
      <rPr>
        <sz val="11"/>
        <rFont val="Arial"/>
        <family val="2"/>
      </rPr>
      <t>Ø</t>
    </r>
    <r>
      <rPr>
        <sz val="11"/>
        <rFont val="AcadNusx"/>
        <family val="0"/>
      </rPr>
      <t>203*6</t>
    </r>
  </si>
  <si>
    <t>furclovani foladi -16mm sisqis</t>
  </si>
  <si>
    <t>amwe - kranis momsaxureoba</t>
  </si>
  <si>
    <t>6-12-4</t>
  </si>
  <si>
    <t>6-15-2</t>
  </si>
  <si>
    <r>
      <t xml:space="preserve">monoliTuri r/b svetebis mowyoba </t>
    </r>
    <r>
      <rPr>
        <sz val="11"/>
        <color indexed="8"/>
        <rFont val="AcadNusx"/>
        <family val="0"/>
      </rPr>
      <t xml:space="preserve">(s-1 </t>
    </r>
    <r>
      <rPr>
        <sz val="11"/>
        <color indexed="8"/>
        <rFont val="Calibri"/>
        <family val="2"/>
      </rPr>
      <t>÷</t>
    </r>
    <r>
      <rPr>
        <sz val="11"/>
        <color indexed="8"/>
        <rFont val="AcadNusx"/>
        <family val="0"/>
      </rPr>
      <t xml:space="preserve"> s-5)</t>
    </r>
  </si>
  <si>
    <r>
      <t>monoliTuri r/b rigelebis mowyoba</t>
    </r>
    <r>
      <rPr>
        <sz val="11"/>
        <color indexed="8"/>
        <rFont val="AcadNusx"/>
        <family val="0"/>
      </rPr>
      <t xml:space="preserve"> (k-1 </t>
    </r>
    <r>
      <rPr>
        <sz val="11"/>
        <color indexed="8"/>
        <rFont val="Arial"/>
        <family val="2"/>
      </rPr>
      <t>÷</t>
    </r>
    <r>
      <rPr>
        <sz val="11"/>
        <color indexed="8"/>
        <rFont val="AcadNusx"/>
        <family val="0"/>
      </rPr>
      <t xml:space="preserve"> k-4)</t>
    </r>
  </si>
  <si>
    <t>6-16-3</t>
  </si>
  <si>
    <t>saqsovi mavTuli</t>
  </si>
  <si>
    <r>
      <t xml:space="preserve">monoliTuri r/b filis mowyoba -0,100 </t>
    </r>
    <r>
      <rPr>
        <b/>
        <sz val="11"/>
        <color indexed="8"/>
        <rFont val="AcadNusx"/>
        <family val="0"/>
      </rPr>
      <t>niSnulze</t>
    </r>
  </si>
  <si>
    <r>
      <t xml:space="preserve">monoliTuri r/b filis mowyoba +3,800 </t>
    </r>
    <r>
      <rPr>
        <b/>
        <sz val="11"/>
        <color indexed="8"/>
        <rFont val="AcadNusx"/>
        <family val="0"/>
      </rPr>
      <t>niSnulze</t>
    </r>
  </si>
  <si>
    <r>
      <t xml:space="preserve">monoliTuri r/b filis mowyoba +4,900 </t>
    </r>
    <r>
      <rPr>
        <b/>
        <sz val="11"/>
        <color indexed="8"/>
        <rFont val="AcadNusx"/>
        <family val="0"/>
      </rPr>
      <t>niSnulze</t>
    </r>
  </si>
  <si>
    <r>
      <t xml:space="preserve">monoliTuri r/b filis mowyoba -0,100 </t>
    </r>
    <r>
      <rPr>
        <b/>
        <sz val="11"/>
        <color indexed="8"/>
        <rFont val="AcadNusx"/>
        <family val="0"/>
      </rPr>
      <t>niSnulze</t>
    </r>
    <r>
      <rPr>
        <sz val="11"/>
        <color indexed="8"/>
        <rFont val="AcadNusx"/>
        <family val="0"/>
      </rPr>
      <t xml:space="preserve"> (terasa)</t>
    </r>
  </si>
  <si>
    <r>
      <t xml:space="preserve">monoliTuri r/b wertilovani saZirkvlebis mowyoba </t>
    </r>
    <r>
      <rPr>
        <sz val="11"/>
        <rFont val="AcadNusx"/>
        <family val="0"/>
      </rPr>
      <t>(pandusis svetebis saZirkvlebi - 13 cali)</t>
    </r>
  </si>
  <si>
    <t>pandusis konstruqciis mowyoba</t>
  </si>
  <si>
    <r>
      <t xml:space="preserve">liTonis mili </t>
    </r>
    <r>
      <rPr>
        <sz val="11"/>
        <rFont val="Arial"/>
        <family val="2"/>
      </rPr>
      <t>Ø</t>
    </r>
    <r>
      <rPr>
        <sz val="11"/>
        <rFont val="AcadNusx"/>
        <family val="0"/>
      </rPr>
      <t>152*8</t>
    </r>
  </si>
  <si>
    <t>Sveleri #10</t>
  </si>
  <si>
    <t>furclovani foladi -8mm sisqis</t>
  </si>
  <si>
    <t>8-15-1</t>
  </si>
  <si>
    <t>gare kedlebis mowyoba mcire zomis sakedle blokiT, 20X20X40</t>
  </si>
  <si>
    <t>qviSa-cementis xsnari m150</t>
  </si>
  <si>
    <t>mcire zomis sakedle bloki</t>
  </si>
  <si>
    <t>Sida kedlebis mowyoba mcire zomis sakedle blokiT, 20X20X40</t>
  </si>
  <si>
    <t>kedlebis mowyoba satixre blokiT, 10X20X40</t>
  </si>
  <si>
    <r>
      <t>m</t>
    </r>
    <r>
      <rPr>
        <b/>
        <vertAlign val="superscript"/>
        <sz val="11"/>
        <rFont val="AcadNusx"/>
        <family val="0"/>
      </rPr>
      <t>2</t>
    </r>
  </si>
  <si>
    <t>satixre bloki</t>
  </si>
  <si>
    <r>
      <t xml:space="preserve">armatura </t>
    </r>
    <r>
      <rPr>
        <sz val="11"/>
        <color indexed="8"/>
        <rFont val="Arial"/>
        <family val="2"/>
      </rPr>
      <t xml:space="preserve">A-III </t>
    </r>
    <r>
      <rPr>
        <sz val="11"/>
        <color indexed="8"/>
        <rFont val="Arial"/>
        <family val="2"/>
      </rPr>
      <t>Ø</t>
    </r>
    <r>
      <rPr>
        <sz val="11"/>
        <color indexed="8"/>
        <rFont val="Arial"/>
        <family val="2"/>
      </rPr>
      <t>8</t>
    </r>
    <r>
      <rPr>
        <sz val="11"/>
        <color indexed="8"/>
        <rFont val="AcadNusx"/>
        <family val="0"/>
      </rPr>
      <t>mm</t>
    </r>
  </si>
  <si>
    <r>
      <t xml:space="preserve">monoliTuri r/b kibeebis mowyoba </t>
    </r>
    <r>
      <rPr>
        <sz val="11"/>
        <color indexed="8"/>
        <rFont val="AcadNusx"/>
        <family val="0"/>
      </rPr>
      <t>(Sida da gare)</t>
    </r>
  </si>
  <si>
    <t>Riobebi</t>
  </si>
  <si>
    <r>
      <t>mdf-is karebis blokis mowyoba</t>
    </r>
    <r>
      <rPr>
        <sz val="11"/>
        <rFont val="AcadNusx"/>
        <family val="0"/>
      </rPr>
      <t xml:space="preserve"> (k-3; k-4; k-5)</t>
    </r>
  </si>
  <si>
    <t>Savi aluminis karebis damzadeba da montaJi</t>
  </si>
  <si>
    <t>10-20-1 gam.</t>
  </si>
  <si>
    <t>Savi aluminis fanjrebis da vitraJebis damzadeba da montaJi</t>
  </si>
  <si>
    <r>
      <t>m</t>
    </r>
    <r>
      <rPr>
        <b/>
        <vertAlign val="superscript"/>
        <sz val="11"/>
        <color indexed="8"/>
        <rFont val="AcadNusx"/>
        <family val="0"/>
      </rPr>
      <t>2</t>
    </r>
  </si>
  <si>
    <t>gare kedlebis Tboizolacia</t>
  </si>
  <si>
    <t>15-55-5</t>
  </si>
  <si>
    <t>gare kedlebis da ferdobebis lesva qviSa-cementis xsnariT</t>
  </si>
  <si>
    <r>
      <t>Tboizolacia (</t>
    </r>
    <r>
      <rPr>
        <sz val="11"/>
        <rFont val="Arial"/>
        <family val="2"/>
      </rPr>
      <t>XPS</t>
    </r>
    <r>
      <rPr>
        <sz val="11"/>
        <rFont val="AcadNusx"/>
        <family val="0"/>
      </rPr>
      <t xml:space="preserve"> 5 sm.)</t>
    </r>
  </si>
  <si>
    <t xml:space="preserve"> liTonis profili</t>
  </si>
  <si>
    <t>Sida kedlebis da ferdobebis lesva qviSa-cementis xsnariT</t>
  </si>
  <si>
    <t>15-52-1</t>
  </si>
  <si>
    <t>laminirebuli parketis iatakis mowyoba</t>
  </si>
  <si>
    <t>laminirebuli parketi</t>
  </si>
  <si>
    <t>11-27-6 gam.</t>
  </si>
  <si>
    <t>laminirebuli parkets plintusi</t>
  </si>
  <si>
    <t>naturaluri qvis filebi</t>
  </si>
  <si>
    <t>fanjrebis rafebis mowyoba</t>
  </si>
  <si>
    <t xml:space="preserve">saxuravis hidroizolacia linokromis 2 feniT  </t>
  </si>
  <si>
    <t>parapetis mowyoba TunuqiT</t>
  </si>
  <si>
    <t>Tunuqi furclovani</t>
  </si>
  <si>
    <t>12-2-1</t>
  </si>
  <si>
    <t>12-10-1-2</t>
  </si>
  <si>
    <t>saxuravis gamasworebeli  moWimvis mowyoba qviSa-cementis xsnariT, sisqiT 50mm</t>
  </si>
  <si>
    <t>12-9-5</t>
  </si>
  <si>
    <t>saxuravze daTbunebis mowyoba pemziT</t>
  </si>
  <si>
    <t>saxuravze adgilobrivi qvis "kroSkis" dayra, saS. sisqiT 5sm.</t>
  </si>
  <si>
    <t xml:space="preserve">adgilobrivi qvis "kroSka" </t>
  </si>
  <si>
    <t>saZirkvlebis hidroizolaciis 1 fenis mowyoba</t>
  </si>
  <si>
    <t>gare kedlebis mopirkeTeba TabaSiris dekoratiuli elementebiT</t>
  </si>
  <si>
    <t>15-52-6</t>
  </si>
  <si>
    <t>gare kedlebis, ferdobebis da karnizebis  faqturuli lesva qviSa-cementis xsnariT</t>
  </si>
  <si>
    <t>fanjris rafa</t>
  </si>
  <si>
    <r>
      <t xml:space="preserve">xaraCo </t>
    </r>
    <r>
      <rPr>
        <sz val="11"/>
        <rFont val="AcadNusx"/>
        <family val="0"/>
      </rPr>
      <t>(awyoba - daSla)</t>
    </r>
  </si>
  <si>
    <r>
      <t>m</t>
    </r>
    <r>
      <rPr>
        <vertAlign val="superscript"/>
        <sz val="11"/>
        <rFont val="AcadNusx"/>
        <family val="0"/>
      </rPr>
      <t>2</t>
    </r>
  </si>
  <si>
    <r>
      <t>ortesebri koWi</t>
    </r>
    <r>
      <rPr>
        <sz val="11"/>
        <rFont val="Arial"/>
        <family val="2"/>
      </rPr>
      <t xml:space="preserve"> </t>
    </r>
    <r>
      <rPr>
        <b/>
        <sz val="11"/>
        <rFont val="AcadNusx"/>
        <family val="0"/>
      </rPr>
      <t>I</t>
    </r>
    <r>
      <rPr>
        <sz val="11"/>
        <rFont val="Arial"/>
        <family val="2"/>
      </rPr>
      <t xml:space="preserve"> 22</t>
    </r>
  </si>
  <si>
    <r>
      <t xml:space="preserve">liTonis Casayolebeli detalebis mowyoba </t>
    </r>
    <r>
      <rPr>
        <sz val="11"/>
        <rFont val="AcadNusx"/>
        <family val="0"/>
      </rPr>
      <t>(Cd-1; Cd-2)</t>
    </r>
  </si>
  <si>
    <r>
      <t>ortesebri koWi</t>
    </r>
    <r>
      <rPr>
        <sz val="11"/>
        <rFont val="Arial"/>
        <family val="2"/>
      </rPr>
      <t xml:space="preserve"> </t>
    </r>
    <r>
      <rPr>
        <b/>
        <sz val="11"/>
        <rFont val="AcadNusx"/>
        <family val="0"/>
      </rPr>
      <t>I</t>
    </r>
    <r>
      <rPr>
        <sz val="11"/>
        <rFont val="Arial"/>
        <family val="2"/>
      </rPr>
      <t xml:space="preserve"> 16</t>
    </r>
  </si>
  <si>
    <r>
      <t xml:space="preserve">keramogranitis filebis dageba iatakebze </t>
    </r>
    <r>
      <rPr>
        <sz val="11"/>
        <rFont val="AcadNusx"/>
        <family val="0"/>
      </rPr>
      <t>(muqi nacrisferi)</t>
    </r>
  </si>
  <si>
    <r>
      <t xml:space="preserve">keramogranitis filebis dageba iatakebze </t>
    </r>
    <r>
      <rPr>
        <sz val="11"/>
        <rFont val="AcadNusx"/>
        <family val="0"/>
      </rPr>
      <t>(Ria nacrisferi)</t>
    </r>
  </si>
  <si>
    <r>
      <t xml:space="preserve">metlaxis filebis dageba iatakebze </t>
    </r>
    <r>
      <rPr>
        <sz val="11"/>
        <rFont val="AcadNusx"/>
        <family val="0"/>
      </rPr>
      <t>(Ria yavisferi)</t>
    </r>
  </si>
  <si>
    <r>
      <t xml:space="preserve">terasebis mopirkeTeba naturaluri qviT </t>
    </r>
    <r>
      <rPr>
        <sz val="11"/>
        <rFont val="AcadNusx"/>
        <family val="0"/>
      </rPr>
      <t>(Calisferi)</t>
    </r>
  </si>
  <si>
    <t>kedlebis da svetebis damuSaveba da SeRebva wyalemulsiuri saRebaviT</t>
  </si>
  <si>
    <t>armstrongis Sekiduli Weri</t>
  </si>
  <si>
    <t>fasadi</t>
  </si>
  <si>
    <t>34-59-8    34-60-3</t>
  </si>
  <si>
    <t>Weris mowyoba TabaSirmuyaos filebiT</t>
  </si>
  <si>
    <t>TabaSirmuyaos fila 12.5mm</t>
  </si>
  <si>
    <t>Sida kibis liTonis moajiris mowyoba</t>
  </si>
  <si>
    <t>liTonis moajiri</t>
  </si>
  <si>
    <t>gare kibis liTonis dekoratiuli moajiris mowyoba</t>
  </si>
  <si>
    <t>liTonis dekoratiuli moajiri</t>
  </si>
  <si>
    <t>TabaSiris dekoratiuli elementebiT</t>
  </si>
  <si>
    <r>
      <t xml:space="preserve">terasebis da sayvavileebis mopirkeTeba naturaluri qviT </t>
    </r>
    <r>
      <rPr>
        <sz val="11"/>
        <rFont val="AcadNusx"/>
        <family val="0"/>
      </rPr>
      <t>(Savi)</t>
    </r>
  </si>
  <si>
    <t>pandusis da ukana terasebis liTonis moajiris mowyoba</t>
  </si>
  <si>
    <t>dekoratiuli svetebis mopirkeTeba xis faqturis imitaciiT</t>
  </si>
  <si>
    <r>
      <t xml:space="preserve">pandusis mowyoba xe-plastmasis kompozituri panelebiT </t>
    </r>
    <r>
      <rPr>
        <sz val="11"/>
        <rFont val="Arial"/>
        <family val="2"/>
      </rPr>
      <t>(WPC)</t>
    </r>
  </si>
  <si>
    <t>11-36-3 gam.</t>
  </si>
  <si>
    <t>keramikuli filebis plintusebis mowyoba</t>
  </si>
  <si>
    <t>Sida kibeebis mopirkeTeba naturaluri qviT</t>
  </si>
  <si>
    <r>
      <t>lokaluri xarjTaRricxva 1-1</t>
    </r>
    <r>
      <rPr>
        <sz val="12"/>
        <color indexed="10"/>
        <rFont val="AcadNusx"/>
        <family val="0"/>
      </rPr>
      <t xml:space="preserve"> (turistuli centri)</t>
    </r>
  </si>
  <si>
    <r>
      <rPr>
        <sz val="11"/>
        <rFont val="Arial"/>
        <family val="2"/>
      </rPr>
      <t>WPC</t>
    </r>
    <r>
      <rPr>
        <sz val="11"/>
        <rFont val="AcadNusx"/>
        <family val="0"/>
      </rPr>
      <t xml:space="preserve"> panelebi</t>
    </r>
  </si>
  <si>
    <t>1-21-3</t>
  </si>
  <si>
    <t>1-21-5</t>
  </si>
  <si>
    <t>6-1-1</t>
  </si>
  <si>
    <t>erT.</t>
  </si>
  <si>
    <t>fasadis kedlebis mopirkeTeba "lazuri wyobiT"</t>
  </si>
  <si>
    <t>Rirebuleba</t>
  </si>
  <si>
    <t>lari</t>
  </si>
  <si>
    <t>sxva masalebi</t>
  </si>
  <si>
    <t xml:space="preserve">Sromis danaxarjebi </t>
  </si>
  <si>
    <t>qviSa Savi</t>
  </si>
  <si>
    <t>betonis bordiuri</t>
  </si>
  <si>
    <t xml:space="preserve">betoni </t>
  </si>
  <si>
    <t>RorRi</t>
  </si>
  <si>
    <r>
      <t>m</t>
    </r>
    <r>
      <rPr>
        <b/>
        <vertAlign val="superscript"/>
        <sz val="10"/>
        <rFont val="AcadNusx"/>
        <family val="0"/>
      </rPr>
      <t>2</t>
    </r>
  </si>
  <si>
    <t>betonis dekoratiuli fila</t>
  </si>
  <si>
    <t>sxva maslebi</t>
  </si>
  <si>
    <t>Savi miwa</t>
  </si>
  <si>
    <t>eleqtrodi</t>
  </si>
  <si>
    <t>ficari (3sm.)</t>
  </si>
  <si>
    <t>Siferis Surufebi</t>
  </si>
  <si>
    <t>kompl.</t>
  </si>
  <si>
    <t>WanWikebi</t>
  </si>
  <si>
    <t>furclovani foladi 2mm sisqis</t>
  </si>
  <si>
    <t>zeTovani saRebavi</t>
  </si>
  <si>
    <t>zeTovani saRebavis gamxsneli</t>
  </si>
  <si>
    <t>სკვერის დასუფთავება და ნაგვის გატანა</t>
  </si>
  <si>
    <t>1-85-3</t>
  </si>
  <si>
    <t xml:space="preserve"> </t>
  </si>
  <si>
    <r>
      <t>m</t>
    </r>
    <r>
      <rPr>
        <vertAlign val="superscript"/>
        <sz val="10"/>
        <rFont val="AcadNusx"/>
        <family val="0"/>
      </rPr>
      <t>3</t>
    </r>
  </si>
  <si>
    <r>
      <t>m</t>
    </r>
    <r>
      <rPr>
        <vertAlign val="superscript"/>
        <sz val="10"/>
        <rFont val="AcadNusx"/>
        <family val="0"/>
      </rPr>
      <t>2</t>
    </r>
  </si>
  <si>
    <r>
      <t xml:space="preserve">skveris skamebis SeZena - montaJi </t>
    </r>
    <r>
      <rPr>
        <sz val="10"/>
        <rFont val="AcadNusx"/>
        <family val="0"/>
      </rPr>
      <t>(sxmuli Tujis fexebiT, damuSavebuli zedapiriT, CabetonebiT)</t>
    </r>
  </si>
  <si>
    <t>Savi miwis Setana skveris teritoriaze da gaSla</t>
  </si>
  <si>
    <r>
      <rPr>
        <b/>
        <sz val="10"/>
        <rFont val="AcadNusx"/>
        <family val="0"/>
      </rPr>
      <t xml:space="preserve">betonis dekoratiuli filebis mowyoba </t>
    </r>
    <r>
      <rPr>
        <sz val="10"/>
        <rFont val="AcadNusx"/>
        <family val="0"/>
      </rPr>
      <t xml:space="preserve">(qviSis safuZvelze) </t>
    </r>
  </si>
  <si>
    <r>
      <rPr>
        <b/>
        <sz val="10"/>
        <rFont val="AcadNusx"/>
        <family val="0"/>
      </rPr>
      <t>skveris teritoriaze, fraqciuli RorRis Setana, gaSla da datkepna</t>
    </r>
    <r>
      <rPr>
        <sz val="10"/>
        <rFont val="AcadNusx"/>
        <family val="0"/>
      </rPr>
      <t xml:space="preserve"> (ფრაქცია </t>
    </r>
    <r>
      <rPr>
        <sz val="10"/>
        <rFont val="Arial"/>
        <family val="2"/>
      </rPr>
      <t>20÷40</t>
    </r>
    <r>
      <rPr>
        <sz val="10"/>
        <rFont val="AcadNusx"/>
        <family val="0"/>
      </rPr>
      <t>)</t>
    </r>
  </si>
  <si>
    <t>miwis gaWra da mosworeba</t>
  </si>
  <si>
    <t>ლითონის კონსტრუქციების შეღებვა ზეთოვანი საღებავით</t>
  </si>
  <si>
    <t>kauCukis iataki</t>
  </si>
  <si>
    <r>
      <t xml:space="preserve">betonis samuSaoebi </t>
    </r>
    <r>
      <rPr>
        <sz val="10"/>
        <rFont val="AcadNusx"/>
        <family val="0"/>
      </rPr>
      <t>(kauCukis iatakis qveS betonis momzadebis mowyoba, saS. 12 sm. sisqis)</t>
    </r>
  </si>
  <si>
    <t>liTonis kramiti</t>
  </si>
  <si>
    <t>antiseptikuri xsnari</t>
  </si>
  <si>
    <t>liTonis kramitis kexi</t>
  </si>
  <si>
    <t>furclovani liToni 2mm sisqis</t>
  </si>
  <si>
    <t>xis masala (damuSavebuli xis koWi 50*80; 14 grZ.m.)</t>
  </si>
  <si>
    <t>laki</t>
  </si>
  <si>
    <t>moTuTiebuli Tunuqi 0.7mm sisqis</t>
  </si>
  <si>
    <t>liTonis zolovana 40*20</t>
  </si>
  <si>
    <t>xis masala (damuSavebuli xis koWi 40*20; 13.2 grZ.m.)</t>
  </si>
  <si>
    <t>xis konstruqciebis damuSaveba antiseptikiT</t>
  </si>
  <si>
    <t>xis konstruqciebis damuSaveba lakiT</t>
  </si>
  <si>
    <r>
      <t xml:space="preserve">xis saCrdilobelis mowyoba </t>
    </r>
    <r>
      <rPr>
        <sz val="10"/>
        <rFont val="AcadNusx"/>
        <family val="0"/>
      </rPr>
      <t>(naxazebis mixedviT)</t>
    </r>
  </si>
  <si>
    <t>samagri elementi (bolt-gaika)</t>
  </si>
  <si>
    <t>xis masala (damuSavebuli xis koWi 96*96mm - 7.8 grZ.m.; 0.96*0.96mm - 10.6 grZ.m. )</t>
  </si>
  <si>
    <t>rbili kramiti</t>
  </si>
  <si>
    <t>xis masala (damuSavebuli xis koWi 80*80mm - 30.0 grZ.m.)</t>
  </si>
  <si>
    <t>xis masala (damuSavebuli xis koWi 80*60mm - 30.0 grZ.m.)</t>
  </si>
  <si>
    <t>aiwona - daiwona</t>
  </si>
  <si>
    <r>
      <rPr>
        <b/>
        <sz val="10"/>
        <rFont val="AcadNusx"/>
        <family val="0"/>
      </rPr>
      <t xml:space="preserve">axali saqanelas damzadeba - montaJi. saqanela. </t>
    </r>
    <r>
      <rPr>
        <sz val="10"/>
        <rFont val="AcadNusx"/>
        <family val="0"/>
      </rPr>
      <t>(eskizuri naxazis mixedviT)</t>
    </r>
  </si>
  <si>
    <t>sqanela</t>
  </si>
  <si>
    <t>skami (Tujis fexebiT)</t>
  </si>
  <si>
    <r>
      <t xml:space="preserve">saCrdilobelis skamebis mowyoba </t>
    </r>
    <r>
      <rPr>
        <sz val="10"/>
        <rFont val="AcadNusx"/>
        <family val="0"/>
      </rPr>
      <t>(eskizuri naxazebis mixedviT)</t>
    </r>
  </si>
  <si>
    <r>
      <t xml:space="preserve">saCrdilobelis magidis mowyoba </t>
    </r>
    <r>
      <rPr>
        <sz val="10"/>
        <rFont val="AcadNusx"/>
        <family val="0"/>
      </rPr>
      <t>(eskizuri naxazebis mixedviT)</t>
    </r>
  </si>
  <si>
    <r>
      <t>saCrdilobelis xis lartyebis mowyoba</t>
    </r>
    <r>
      <rPr>
        <b/>
        <sz val="11"/>
        <rFont val="AcadNusx"/>
        <family val="0"/>
      </rPr>
      <t xml:space="preserve"> </t>
    </r>
    <r>
      <rPr>
        <sz val="10"/>
        <rFont val="AcadNusx"/>
        <family val="0"/>
      </rPr>
      <t>(eskizuri naxazebis mixedviT)</t>
    </r>
  </si>
  <si>
    <r>
      <t xml:space="preserve">saCrdilobelis boZebis da koWebis mowyoba liTonis profilebiT </t>
    </r>
    <r>
      <rPr>
        <sz val="10"/>
        <rFont val="AcadNusx"/>
        <family val="0"/>
      </rPr>
      <t>(eskizuri naxazebis mixedviT)</t>
    </r>
  </si>
  <si>
    <t>arebuli nagvis urnebis demontaJi, transportireba da dasawyobeba gamoyofil adgilas</t>
  </si>
  <si>
    <r>
      <rPr>
        <b/>
        <sz val="10"/>
        <rFont val="AcadNusx"/>
        <family val="0"/>
      </rPr>
      <t xml:space="preserve">ლითონის ღობის დამზადება-მონტაჟი </t>
    </r>
    <r>
      <rPr>
        <sz val="10"/>
        <rFont val="AcadNusx"/>
        <family val="0"/>
      </rPr>
      <t>(სქემატური ნახაზის მიხედვით</t>
    </r>
    <r>
      <rPr>
        <sz val="10"/>
        <rFont val="Arial"/>
        <family val="2"/>
      </rPr>
      <t xml:space="preserve">; </t>
    </r>
    <r>
      <rPr>
        <sz val="10"/>
        <rFont val="AcadNusx"/>
        <family val="0"/>
      </rPr>
      <t>fragmenti #</t>
    </r>
    <r>
      <rPr>
        <b/>
        <sz val="10"/>
        <rFont val="AcadNusx"/>
        <family val="0"/>
      </rPr>
      <t>2</t>
    </r>
    <r>
      <rPr>
        <sz val="10"/>
        <rFont val="AcadNusx"/>
        <family val="0"/>
      </rPr>
      <t xml:space="preserve"> - monoliTuri cokoliT)</t>
    </r>
  </si>
  <si>
    <t>milkvadrati □60*40*2.5</t>
  </si>
  <si>
    <t>milkvadrati □40*40*2</t>
  </si>
  <si>
    <t>milkvadrati □40*20*2</t>
  </si>
  <si>
    <r>
      <t xml:space="preserve">armatura </t>
    </r>
    <r>
      <rPr>
        <sz val="10"/>
        <rFont val="Arial"/>
        <family val="2"/>
      </rPr>
      <t>A</t>
    </r>
    <r>
      <rPr>
        <sz val="10"/>
        <rFont val="AcadNusx"/>
        <family val="0"/>
      </rPr>
      <t xml:space="preserve">III; </t>
    </r>
    <r>
      <rPr>
        <sz val="10"/>
        <rFont val="Calibri"/>
        <family val="2"/>
      </rPr>
      <t>Ø</t>
    </r>
    <r>
      <rPr>
        <sz val="10"/>
        <rFont val="AcadNusx"/>
        <family val="0"/>
      </rPr>
      <t>12mm</t>
    </r>
  </si>
  <si>
    <r>
      <t xml:space="preserve">saCrdilobelis gadaxurva liTonis kramitiT </t>
    </r>
    <r>
      <rPr>
        <sz val="10"/>
        <rFont val="AcadNusx"/>
        <family val="0"/>
      </rPr>
      <t>(feri - SeTanxmdes damkveTTan)</t>
    </r>
    <r>
      <rPr>
        <b/>
        <sz val="10"/>
        <rFont val="AcadNusx"/>
        <family val="0"/>
      </rPr>
      <t xml:space="preserve">  </t>
    </r>
  </si>
  <si>
    <r>
      <t xml:space="preserve">axali sanagve urnis damzadeba - montaJi </t>
    </r>
    <r>
      <rPr>
        <sz val="10"/>
        <rFont val="AcadNusx"/>
        <family val="0"/>
      </rPr>
      <t>(eskizuri naxazis mixedviT)</t>
    </r>
  </si>
  <si>
    <t>milkvadrati □100*100*2</t>
  </si>
  <si>
    <t>milkvadrati □80*80*2</t>
  </si>
  <si>
    <r>
      <t>sajdomis ficari 1.8m</t>
    </r>
    <r>
      <rPr>
        <vertAlign val="superscript"/>
        <sz val="10"/>
        <rFont val="AcadNusx"/>
        <family val="0"/>
      </rPr>
      <t>2</t>
    </r>
  </si>
  <si>
    <r>
      <t xml:space="preserve">xis saCrdilobelis gadaxurva rbili kramitiT </t>
    </r>
    <r>
      <rPr>
        <sz val="10"/>
        <rFont val="AcadNusx"/>
        <family val="0"/>
      </rPr>
      <t>(feri - SeTanxmdes damkveTTan)</t>
    </r>
    <r>
      <rPr>
        <b/>
        <sz val="10"/>
        <rFont val="AcadNusx"/>
        <family val="0"/>
      </rPr>
      <t xml:space="preserve">  </t>
    </r>
  </si>
  <si>
    <r>
      <t xml:space="preserve">skverSi da mimdebare teritoriaze, gadanaWreli xis narCenebis </t>
    </r>
    <r>
      <rPr>
        <sz val="10"/>
        <rFont val="AcadNusx"/>
        <family val="0"/>
      </rPr>
      <t xml:space="preserve">(kunZebis) </t>
    </r>
    <r>
      <rPr>
        <b/>
        <sz val="10"/>
        <rFont val="AcadNusx"/>
        <family val="0"/>
      </rPr>
      <t>amoReba</t>
    </r>
  </si>
  <si>
    <r>
      <rPr>
        <b/>
        <sz val="10"/>
        <rFont val="AcadNusx"/>
        <family val="0"/>
      </rPr>
      <t>skveris teritoriaze, TeTri "kroSkis" Setana, gaSla da datkepna</t>
    </r>
    <r>
      <rPr>
        <sz val="10"/>
        <rFont val="AcadNusx"/>
        <family val="0"/>
      </rPr>
      <t xml:space="preserve"> (ფრაქცია </t>
    </r>
    <r>
      <rPr>
        <sz val="10"/>
        <rFont val="Arial"/>
        <family val="2"/>
      </rPr>
      <t>20÷40</t>
    </r>
    <r>
      <rPr>
        <sz val="10"/>
        <rFont val="AcadNusx"/>
        <family val="0"/>
      </rPr>
      <t>)</t>
    </r>
  </si>
  <si>
    <t>TeTri "kroSka"</t>
  </si>
  <si>
    <t>arsebuli liTonis sasrialos demontaJi, transportireba da dasawyobeba gamoyofil adgilas</t>
  </si>
  <si>
    <t>arsebuli saqanelas demontaJi, transportireba da dasawyobeba gamoyofil adgilas</t>
  </si>
  <si>
    <t>arsebuli aiwona-daiwonas demontaJi, transportireba da dasawyobeba gamoyofil adgilas</t>
  </si>
  <si>
    <r>
      <rPr>
        <b/>
        <sz val="10"/>
        <rFont val="AcadNusx"/>
        <family val="0"/>
      </rPr>
      <t xml:space="preserve">ormoebis amoReba konstruqciebis dasabetoneblad. </t>
    </r>
    <r>
      <rPr>
        <sz val="10"/>
        <rFont val="AcadNusx"/>
        <family val="0"/>
      </rPr>
      <t>( საქანელები, ღობე, საჩრდილობelis კონსტრუქცია, )</t>
    </r>
  </si>
  <si>
    <r>
      <t xml:space="preserve">mza betonis bordiurebis mowyoba </t>
    </r>
    <r>
      <rPr>
        <sz val="10"/>
        <rFont val="AcadNusx"/>
        <family val="0"/>
      </rPr>
      <t>(ზომით 7,5*20; ბეტონის საფუძველზე)</t>
    </r>
  </si>
  <si>
    <r>
      <rPr>
        <b/>
        <sz val="10"/>
        <rFont val="AcadNusx"/>
        <family val="0"/>
      </rPr>
      <t xml:space="preserve">axali saqanelas damzadeba - montaJi. aiwona-daiwona. </t>
    </r>
    <r>
      <rPr>
        <sz val="10"/>
        <rFont val="AcadNusx"/>
        <family val="0"/>
      </rPr>
      <t>(ormagi; eskizuri naxazis mixedviT)</t>
    </r>
  </si>
  <si>
    <r>
      <rPr>
        <b/>
        <sz val="10"/>
        <rFont val="AcadNusx"/>
        <family val="0"/>
      </rPr>
      <t xml:space="preserve">axali saqanelas damzadeba - montaJi. sasrialo. </t>
    </r>
    <r>
      <rPr>
        <sz val="10"/>
        <rFont val="AcadNusx"/>
        <family val="0"/>
      </rPr>
      <t>(eskizuri naxazis mixedviT)</t>
    </r>
  </si>
  <si>
    <t>sasrialo</t>
  </si>
  <si>
    <t>arsebuli betonis bordiurebis demontaJi</t>
  </si>
  <si>
    <r>
      <rPr>
        <b/>
        <sz val="10"/>
        <rFont val="AcadNusx"/>
        <family val="0"/>
      </rPr>
      <t xml:space="preserve">ლითონის ღობის დამზადება-მონტაჟი </t>
    </r>
    <r>
      <rPr>
        <sz val="10"/>
        <rFont val="AcadNusx"/>
        <family val="0"/>
      </rPr>
      <t>(სქემატური ნახაზის მიხედვით</t>
    </r>
    <r>
      <rPr>
        <sz val="10"/>
        <rFont val="Arial"/>
        <family val="2"/>
      </rPr>
      <t xml:space="preserve"> </t>
    </r>
    <r>
      <rPr>
        <sz val="10"/>
        <rFont val="AcadNusx"/>
        <family val="0"/>
      </rPr>
      <t xml:space="preserve">), </t>
    </r>
    <r>
      <rPr>
        <b/>
        <sz val="10"/>
        <color indexed="10"/>
        <rFont val="AcadNusx"/>
        <family val="0"/>
      </rPr>
      <t>karebiT</t>
    </r>
  </si>
  <si>
    <r>
      <t>kauCukis iatakis mowyoba</t>
    </r>
    <r>
      <rPr>
        <sz val="10"/>
        <rFont val="AcadNusx"/>
        <family val="0"/>
      </rPr>
      <t xml:space="preserve"> (</t>
    </r>
    <r>
      <rPr>
        <b/>
        <sz val="10"/>
        <color indexed="10"/>
        <rFont val="AcadNusx"/>
        <family val="0"/>
      </rPr>
      <t>2.0</t>
    </r>
    <r>
      <rPr>
        <sz val="10"/>
        <rFont val="AcadNusx"/>
        <family val="0"/>
      </rPr>
      <t xml:space="preserve"> sm. sisqis)</t>
    </r>
  </si>
  <si>
    <t>%</t>
  </si>
  <si>
    <t xml:space="preserve"> sofeli winubani. skolis gverdiT - xarjTaRricxva 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</si>
</sst>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#,##0.0;[Red]#,##0.0"/>
    <numFmt numFmtId="191" formatCode="#,##0.0"/>
    <numFmt numFmtId="192" formatCode="[$-FC19]d\ mmmm\ yyyy\ &quot;г.&quot;"/>
    <numFmt numFmtId="193" formatCode="0.0000"/>
    <numFmt numFmtId="194" formatCode="0.00000"/>
    <numFmt numFmtId="195" formatCode="0.0%"/>
    <numFmt numFmtId="196" formatCode="0.000000"/>
    <numFmt numFmtId="197" formatCode="_-* #,##0.000_р_._-;\-* #,##0.000_р_._-;_-* &quot;-&quot;??_р_._-;_-@_-"/>
    <numFmt numFmtId="198" formatCode="_-* #,##0.0_р_._-;\-* #,##0.0_р_._-;_-* &quot;-&quot;??_р_._-;_-@_-"/>
    <numFmt numFmtId="199" formatCode="0.0000000"/>
    <numFmt numFmtId="200" formatCode="_-* #,##0.000_р_._-;\-* #,##0.000_р_._-;_-* &quot;-&quot;???_р_._-;_-@_-"/>
    <numFmt numFmtId="201" formatCode="_-* #,##0.0000_р_._-;\-* #,##0.0000_р_._-;_-* &quot;-&quot;??_р_._-;_-@_-"/>
    <numFmt numFmtId="202" formatCode="0.00000000"/>
    <numFmt numFmtId="203" formatCode="[$-409]dddd\,\ mmmm\ dd\,\ yyyy"/>
    <numFmt numFmtId="204" formatCode="[$-409]h:mm:ss\ AM/PM"/>
    <numFmt numFmtId="205" formatCode="#,##0.00;[Red]#,##0.00"/>
    <numFmt numFmtId="206" formatCode="#,##0.000;[Red]#,##0.000"/>
    <numFmt numFmtId="207" formatCode="_(* #,##0.000_);_(* \(#,##0.000\);_(* &quot;-&quot;??_);_(@_)"/>
    <numFmt numFmtId="208" formatCode="_(* #,##0.0_);_(* \(#,##0.0\);_(* &quot;-&quot;??_);_(@_)"/>
    <numFmt numFmtId="209" formatCode="_-* #,##0.0_р_._-;\-* #,##0.0_р_._-;_-* &quot;-&quot;?_р_._-;_-@_-"/>
    <numFmt numFmtId="210" formatCode="#,##0;[Red]#,##0"/>
    <numFmt numFmtId="211" formatCode="_(* #,##0_);_(* \(#,##0\);_(* &quot;-&quot;??_);_(@_)"/>
    <numFmt numFmtId="212" formatCode="_(* #,##0.0000_);_(* \(#,##0.0000\);_(* &quot;-&quot;??_);_(@_)"/>
    <numFmt numFmtId="213" formatCode="_-* #,##0_р_._-;\-* #,##0_р_._-;_-* &quot;-&quot;??_р_._-;_-@_-"/>
    <numFmt numFmtId="214" formatCode="_-* #,##0.00_р_._-;\-* #,##0.00_р_._-;_-* &quot;-&quot;???_р_._-;_-@_-"/>
    <numFmt numFmtId="215" formatCode="_-* #,##0.0000_р_._-;\-* #,##0.0000_р_._-;_-* &quot;-&quot;???_р_._-;_-@_-"/>
    <numFmt numFmtId="216" formatCode="_-* #,##0.00000_р_._-;\-* #,##0.00000_р_._-;_-* &quot;-&quot;???_р_._-;_-@_-"/>
    <numFmt numFmtId="217" formatCode="_-* #,##0.000000_р_._-;\-* #,##0.000000_р_._-;_-* &quot;-&quot;???_р_._-;_-@_-"/>
    <numFmt numFmtId="218" formatCode="_-* #,##0.0_р_._-;\-* #,##0.0_р_._-;_-* &quot;-&quot;???_р_._-;_-@_-"/>
    <numFmt numFmtId="219" formatCode="_-* #,##0_р_._-;\-* #,##0_р_._-;_-* &quot;-&quot;???_р_._-;_-@_-"/>
    <numFmt numFmtId="220" formatCode="0.0000000000"/>
    <numFmt numFmtId="221" formatCode="0.00000000000"/>
    <numFmt numFmtId="222" formatCode="0.00000000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Ђ-2]\ #,##0.00_);[Red]\([$Ђ-2]\ #,##0.00\)"/>
  </numFmts>
  <fonts count="62">
    <font>
      <sz val="10"/>
      <name val="Arial"/>
      <family val="0"/>
    </font>
    <font>
      <sz val="10"/>
      <name val="AcadNusx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cadNusx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8"/>
      <name val="AcadNusx"/>
      <family val="0"/>
    </font>
    <font>
      <b/>
      <sz val="11"/>
      <color indexed="8"/>
      <name val="AcadNusx"/>
      <family val="0"/>
    </font>
    <font>
      <sz val="11"/>
      <name val="AcadNusx"/>
      <family val="0"/>
    </font>
    <font>
      <b/>
      <sz val="11"/>
      <name val="AcadNusx"/>
      <family val="0"/>
    </font>
    <font>
      <sz val="11"/>
      <name val="Arial"/>
      <family val="2"/>
    </font>
    <font>
      <sz val="10"/>
      <name val="ChveuNusx"/>
      <family val="0"/>
    </font>
    <font>
      <sz val="10"/>
      <name val="MS Sans Serif"/>
      <family val="2"/>
    </font>
    <font>
      <b/>
      <vertAlign val="superscript"/>
      <sz val="11"/>
      <name val="AcadNusx"/>
      <family val="0"/>
    </font>
    <font>
      <vertAlign val="superscript"/>
      <sz val="11"/>
      <name val="AcadNusx"/>
      <family val="0"/>
    </font>
    <font>
      <sz val="11"/>
      <name val="Calibri"/>
      <family val="2"/>
    </font>
    <font>
      <sz val="11"/>
      <color indexed="8"/>
      <name val="Arial"/>
      <family val="2"/>
    </font>
    <font>
      <sz val="12"/>
      <name val="AcadNusx"/>
      <family val="0"/>
    </font>
    <font>
      <b/>
      <sz val="11"/>
      <name val="Arial"/>
      <family val="2"/>
    </font>
    <font>
      <b/>
      <sz val="10"/>
      <name val="Helv"/>
      <family val="0"/>
    </font>
    <font>
      <vertAlign val="superscript"/>
      <sz val="11"/>
      <color indexed="8"/>
      <name val="AcadNusx"/>
      <family val="0"/>
    </font>
    <font>
      <sz val="11"/>
      <color indexed="12"/>
      <name val="Arial"/>
      <family val="2"/>
    </font>
    <font>
      <b/>
      <vertAlign val="superscript"/>
      <sz val="11"/>
      <color indexed="8"/>
      <name val="AcadNusx"/>
      <family val="0"/>
    </font>
    <font>
      <sz val="11"/>
      <name val="Helv"/>
      <family val="0"/>
    </font>
    <font>
      <sz val="12"/>
      <color indexed="10"/>
      <name val="AcadNusx"/>
      <family val="0"/>
    </font>
    <font>
      <b/>
      <vertAlign val="superscript"/>
      <sz val="10"/>
      <name val="AcadNusx"/>
      <family val="0"/>
    </font>
    <font>
      <vertAlign val="superscript"/>
      <sz val="10"/>
      <name val="AcadNusx"/>
      <family val="0"/>
    </font>
    <font>
      <sz val="10"/>
      <name val="Calibri"/>
      <family val="2"/>
    </font>
    <font>
      <b/>
      <sz val="10"/>
      <color indexed="10"/>
      <name val="AcadNusx"/>
      <family val="0"/>
    </font>
    <font>
      <sz val="11"/>
      <color indexed="10"/>
      <name val="AcadNusx"/>
      <family val="0"/>
    </font>
    <font>
      <sz val="10"/>
      <color indexed="10"/>
      <name val="AcadNusx"/>
      <family val="0"/>
    </font>
    <font>
      <sz val="10"/>
      <color indexed="10"/>
      <name val="Arial"/>
      <family val="2"/>
    </font>
    <font>
      <b/>
      <sz val="11"/>
      <color indexed="10"/>
      <name val="AcadNusx"/>
      <family val="0"/>
    </font>
    <font>
      <sz val="11"/>
      <color indexed="10"/>
      <name val="Arial"/>
      <family val="2"/>
    </font>
    <font>
      <sz val="8"/>
      <name val="Tahoma"/>
      <family val="2"/>
    </font>
    <font>
      <b/>
      <sz val="12"/>
      <name val="AcadNusx"/>
      <family val="0"/>
    </font>
    <font>
      <sz val="11"/>
      <color theme="1"/>
      <name val="Calibri"/>
      <family val="2"/>
    </font>
    <font>
      <sz val="11"/>
      <color rgb="FFFF0000"/>
      <name val="AcadNusx"/>
      <family val="0"/>
    </font>
    <font>
      <sz val="11"/>
      <color theme="1"/>
      <name val="AcadNusx"/>
      <family val="0"/>
    </font>
    <font>
      <b/>
      <sz val="11"/>
      <color theme="1"/>
      <name val="AcadNusx"/>
      <family val="0"/>
    </font>
    <font>
      <sz val="10"/>
      <color rgb="FFFF0000"/>
      <name val="AcadNusx"/>
      <family val="0"/>
    </font>
    <font>
      <sz val="10"/>
      <color rgb="FFFF0000"/>
      <name val="Arial"/>
      <family val="2"/>
    </font>
    <font>
      <b/>
      <sz val="11"/>
      <color rgb="FFFF0000"/>
      <name val="AcadNusx"/>
      <family val="0"/>
    </font>
    <font>
      <sz val="11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2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22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>
      <alignment/>
      <protection/>
    </xf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8" applyNumberFormat="0" applyAlignment="0" applyProtection="0"/>
    <xf numFmtId="0" fontId="1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7" fillId="21" borderId="2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6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30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88" fontId="27" fillId="0" borderId="12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88" fontId="26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7" fillId="22" borderId="12" xfId="0" applyFont="1" applyFill="1" applyBorder="1" applyAlignment="1">
      <alignment vertical="center" wrapText="1"/>
    </xf>
    <xf numFmtId="49" fontId="27" fillId="22" borderId="12" xfId="0" applyNumberFormat="1" applyFont="1" applyFill="1" applyBorder="1" applyAlignment="1">
      <alignment horizontal="center" vertical="center" wrapText="1"/>
    </xf>
    <xf numFmtId="2" fontId="27" fillId="22" borderId="12" xfId="0" applyNumberFormat="1" applyFont="1" applyFill="1" applyBorder="1" applyAlignment="1">
      <alignment vertical="center" wrapText="1"/>
    </xf>
    <xf numFmtId="0" fontId="26" fillId="22" borderId="12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horizontal="center" vertical="center" wrapText="1"/>
    </xf>
    <xf numFmtId="2" fontId="27" fillId="0" borderId="12" xfId="0" applyNumberFormat="1" applyFont="1" applyFill="1" applyBorder="1" applyAlignment="1">
      <alignment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188" fontId="26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7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2" fontId="27" fillId="0" borderId="12" xfId="0" applyNumberFormat="1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188" fontId="27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2" fontId="26" fillId="24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24" borderId="0" xfId="0" applyFont="1" applyFill="1" applyAlignment="1">
      <alignment horizontal="center" vertical="center" wrapText="1"/>
    </xf>
    <xf numFmtId="2" fontId="26" fillId="25" borderId="10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Alignment="1">
      <alignment horizontal="center" vertical="center" wrapText="1"/>
    </xf>
    <xf numFmtId="2" fontId="26" fillId="25" borderId="12" xfId="0" applyNumberFormat="1" applyFont="1" applyFill="1" applyBorder="1" applyAlignment="1">
      <alignment horizontal="center" vertical="center" wrapText="1"/>
    </xf>
    <xf numFmtId="0" fontId="28" fillId="22" borderId="12" xfId="0" applyFont="1" applyFill="1" applyBorder="1" applyAlignment="1">
      <alignment horizontal="center" vertical="center" wrapText="1"/>
    </xf>
    <xf numFmtId="0" fontId="1" fillId="22" borderId="12" xfId="0" applyFont="1" applyFill="1" applyBorder="1" applyAlignment="1">
      <alignment vertical="center" wrapText="1"/>
    </xf>
    <xf numFmtId="0" fontId="26" fillId="26" borderId="10" xfId="0" applyFont="1" applyFill="1" applyBorder="1" applyAlignment="1">
      <alignment horizontal="center" vertical="center" wrapText="1"/>
    </xf>
    <xf numFmtId="2" fontId="27" fillId="25" borderId="12" xfId="0" applyNumberFormat="1" applyFont="1" applyFill="1" applyBorder="1" applyAlignment="1">
      <alignment horizontal="center" vertical="center" wrapText="1"/>
    </xf>
    <xf numFmtId="188" fontId="26" fillId="0" borderId="10" xfId="0" applyNumberFormat="1" applyFont="1" applyBorder="1" applyAlignment="1">
      <alignment horizontal="center" vertical="center" wrapText="1"/>
    </xf>
    <xf numFmtId="188" fontId="26" fillId="0" borderId="12" xfId="0" applyNumberFormat="1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vertical="center" wrapText="1"/>
    </xf>
    <xf numFmtId="2" fontId="26" fillId="0" borderId="12" xfId="0" applyNumberFormat="1" applyFont="1" applyBorder="1" applyAlignment="1">
      <alignment horizontal="center" vertical="center" wrapText="1"/>
    </xf>
    <xf numFmtId="189" fontId="26" fillId="0" borderId="12" xfId="0" applyNumberFormat="1" applyFont="1" applyBorder="1" applyAlignment="1">
      <alignment horizontal="center" vertical="center" wrapText="1"/>
    </xf>
    <xf numFmtId="189" fontId="26" fillId="0" borderId="10" xfId="0" applyNumberFormat="1" applyFont="1" applyFill="1" applyBorder="1" applyAlignment="1">
      <alignment horizontal="center" vertical="center" wrapText="1"/>
    </xf>
    <xf numFmtId="189" fontId="26" fillId="24" borderId="12" xfId="0" applyNumberFormat="1" applyFont="1" applyFill="1" applyBorder="1" applyAlignment="1">
      <alignment horizontal="center" vertical="center" wrapText="1"/>
    </xf>
    <xf numFmtId="188" fontId="26" fillId="24" borderId="10" xfId="0" applyNumberFormat="1" applyFont="1" applyFill="1" applyBorder="1" applyAlignment="1">
      <alignment horizontal="center" vertical="center" wrapText="1"/>
    </xf>
    <xf numFmtId="189" fontId="26" fillId="25" borderId="10" xfId="0" applyNumberFormat="1" applyFont="1" applyFill="1" applyBorder="1" applyAlignment="1">
      <alignment horizontal="center" vertical="center" wrapText="1"/>
    </xf>
    <xf numFmtId="0" fontId="1" fillId="27" borderId="1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188" fontId="27" fillId="25" borderId="12" xfId="0" applyNumberFormat="1" applyFont="1" applyFill="1" applyBorder="1" applyAlignment="1">
      <alignment horizontal="center" vertical="center" wrapText="1"/>
    </xf>
    <xf numFmtId="188" fontId="26" fillId="25" borderId="12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93" fontId="55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89" fontId="55" fillId="25" borderId="12" xfId="0" applyNumberFormat="1" applyFont="1" applyFill="1" applyBorder="1" applyAlignment="1">
      <alignment horizontal="center" vertical="center" wrapText="1"/>
    </xf>
    <xf numFmtId="0" fontId="56" fillId="26" borderId="10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188" fontId="24" fillId="0" borderId="12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88" fontId="24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9" fillId="0" borderId="0" xfId="0" applyFont="1" applyFill="1" applyAlignment="1">
      <alignment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2" fontId="24" fillId="0" borderId="12" xfId="0" applyNumberFormat="1" applyFont="1" applyFill="1" applyBorder="1" applyAlignment="1">
      <alignment horizontal="center" vertical="center" wrapText="1"/>
    </xf>
    <xf numFmtId="189" fontId="55" fillId="25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28" fillId="25" borderId="0" xfId="0" applyFont="1" applyFill="1" applyAlignment="1">
      <alignment vertical="center" wrapText="1"/>
    </xf>
    <xf numFmtId="0" fontId="28" fillId="25" borderId="0" xfId="0" applyFont="1" applyFill="1" applyAlignment="1">
      <alignment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188" fontId="25" fillId="0" borderId="10" xfId="0" applyNumberFormat="1" applyFont="1" applyFill="1" applyBorder="1" applyAlignment="1">
      <alignment horizontal="center" vertical="center" wrapText="1"/>
    </xf>
    <xf numFmtId="188" fontId="24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189" fontId="55" fillId="0" borderId="10" xfId="0" applyNumberFormat="1" applyFont="1" applyFill="1" applyBorder="1" applyAlignment="1">
      <alignment horizontal="center" vertical="center" wrapText="1"/>
    </xf>
    <xf numFmtId="0" fontId="26" fillId="24" borderId="0" xfId="0" applyFont="1" applyFill="1" applyAlignment="1">
      <alignment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2" fontId="24" fillId="24" borderId="12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2" fontId="26" fillId="0" borderId="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2" fontId="26" fillId="0" borderId="13" xfId="0" applyNumberFormat="1" applyFont="1" applyBorder="1" applyAlignment="1">
      <alignment horizontal="center" vertical="center" wrapText="1"/>
    </xf>
    <xf numFmtId="0" fontId="27" fillId="28" borderId="12" xfId="0" applyFont="1" applyFill="1" applyBorder="1" applyAlignment="1">
      <alignment vertical="center" wrapText="1"/>
    </xf>
    <xf numFmtId="0" fontId="27" fillId="27" borderId="12" xfId="0" applyFont="1" applyFill="1" applyBorder="1" applyAlignment="1">
      <alignment horizontal="center" vertical="center" wrapText="1"/>
    </xf>
    <xf numFmtId="0" fontId="26" fillId="27" borderId="12" xfId="0" applyFont="1" applyFill="1" applyBorder="1" applyAlignment="1">
      <alignment horizontal="center" vertical="center" wrapText="1"/>
    </xf>
    <xf numFmtId="49" fontId="27" fillId="27" borderId="12" xfId="0" applyNumberFormat="1" applyFont="1" applyFill="1" applyBorder="1" applyAlignment="1">
      <alignment horizontal="center" vertical="center" wrapText="1"/>
    </xf>
    <xf numFmtId="2" fontId="27" fillId="27" borderId="10" xfId="0" applyNumberFormat="1" applyFont="1" applyFill="1" applyBorder="1" applyAlignment="1">
      <alignment horizontal="center" vertical="center" wrapText="1"/>
    </xf>
    <xf numFmtId="4" fontId="27" fillId="27" borderId="10" xfId="0" applyNumberFormat="1" applyFont="1" applyFill="1" applyBorder="1" applyAlignment="1">
      <alignment horizontal="center" vertical="center" wrapText="1"/>
    </xf>
    <xf numFmtId="4" fontId="27" fillId="27" borderId="12" xfId="0" applyNumberFormat="1" applyFont="1" applyFill="1" applyBorder="1" applyAlignment="1">
      <alignment horizontal="center" vertical="center" wrapText="1"/>
    </xf>
    <xf numFmtId="189" fontId="28" fillId="24" borderId="0" xfId="0" applyNumberFormat="1" applyFont="1" applyFill="1" applyAlignment="1">
      <alignment vertical="center" wrapText="1"/>
    </xf>
    <xf numFmtId="188" fontId="27" fillId="27" borderId="0" xfId="0" applyNumberFormat="1" applyFont="1" applyFill="1" applyAlignment="1">
      <alignment horizontal="center" vertical="center" wrapText="1"/>
    </xf>
    <xf numFmtId="2" fontId="27" fillId="27" borderId="0" xfId="0" applyNumberFormat="1" applyFont="1" applyFill="1" applyAlignment="1">
      <alignment vertical="center" wrapText="1"/>
    </xf>
    <xf numFmtId="0" fontId="27" fillId="27" borderId="0" xfId="0" applyFont="1" applyFill="1" applyAlignment="1">
      <alignment vertical="center" wrapText="1"/>
    </xf>
    <xf numFmtId="0" fontId="36" fillId="22" borderId="10" xfId="0" applyFont="1" applyFill="1" applyBorder="1" applyAlignment="1">
      <alignment horizontal="center" vertical="center" wrapText="1"/>
    </xf>
    <xf numFmtId="0" fontId="28" fillId="22" borderId="10" xfId="0" applyFont="1" applyFill="1" applyBorder="1" applyAlignment="1">
      <alignment horizontal="center" vertical="center" wrapText="1"/>
    </xf>
    <xf numFmtId="0" fontId="28" fillId="22" borderId="10" xfId="0" applyFont="1" applyFill="1" applyBorder="1" applyAlignment="1">
      <alignment vertical="center" wrapText="1"/>
    </xf>
    <xf numFmtId="4" fontId="28" fillId="22" borderId="10" xfId="0" applyNumberFormat="1" applyFont="1" applyFill="1" applyBorder="1" applyAlignment="1">
      <alignment vertical="center" wrapText="1"/>
    </xf>
    <xf numFmtId="4" fontId="28" fillId="22" borderId="10" xfId="0" applyNumberFormat="1" applyFont="1" applyFill="1" applyBorder="1" applyAlignment="1">
      <alignment horizontal="center" vertical="center" wrapText="1"/>
    </xf>
    <xf numFmtId="190" fontId="27" fillId="0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center" vertical="center" wrapText="1"/>
    </xf>
    <xf numFmtId="4" fontId="27" fillId="0" borderId="0" xfId="0" applyNumberFormat="1" applyFont="1" applyAlignment="1">
      <alignment horizontal="center" vertical="center" wrapText="1"/>
    </xf>
    <xf numFmtId="4" fontId="26" fillId="0" borderId="0" xfId="0" applyNumberFormat="1" applyFont="1" applyAlignment="1">
      <alignment horizontal="center" vertical="center" wrapText="1"/>
    </xf>
    <xf numFmtId="0" fontId="27" fillId="4" borderId="16" xfId="0" applyFont="1" applyFill="1" applyBorder="1" applyAlignment="1">
      <alignment horizontal="center" vertical="center" wrapText="1"/>
    </xf>
    <xf numFmtId="0" fontId="26" fillId="4" borderId="14" xfId="0" applyFont="1" applyFill="1" applyBorder="1" applyAlignment="1">
      <alignment horizontal="center" vertical="center" wrapText="1"/>
    </xf>
    <xf numFmtId="0" fontId="27" fillId="4" borderId="14" xfId="0" applyFont="1" applyFill="1" applyBorder="1" applyAlignment="1">
      <alignment horizontal="center" vertical="center" wrapText="1"/>
    </xf>
    <xf numFmtId="4" fontId="27" fillId="4" borderId="14" xfId="0" applyNumberFormat="1" applyFont="1" applyFill="1" applyBorder="1" applyAlignment="1">
      <alignment horizontal="center" vertical="center" wrapText="1"/>
    </xf>
    <xf numFmtId="188" fontId="27" fillId="4" borderId="17" xfId="0" applyNumberFormat="1" applyFont="1" applyFill="1" applyBorder="1" applyAlignment="1">
      <alignment horizontal="center" vertical="center" wrapText="1"/>
    </xf>
    <xf numFmtId="188" fontId="27" fillId="4" borderId="0" xfId="0" applyNumberFormat="1" applyFont="1" applyFill="1" applyBorder="1" applyAlignment="1">
      <alignment horizontal="center" vertical="center" wrapText="1"/>
    </xf>
    <xf numFmtId="2" fontId="27" fillId="4" borderId="0" xfId="0" applyNumberFormat="1" applyFont="1" applyFill="1" applyBorder="1" applyAlignment="1">
      <alignment horizontal="center" vertical="center" wrapText="1"/>
    </xf>
    <xf numFmtId="0" fontId="27" fillId="4" borderId="0" xfId="0" applyFont="1" applyFill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9" fontId="26" fillId="0" borderId="10" xfId="0" applyNumberFormat="1" applyFont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4" fontId="26" fillId="0" borderId="19" xfId="0" applyNumberFormat="1" applyFont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4" fontId="27" fillId="0" borderId="19" xfId="0" applyNumberFormat="1" applyFont="1" applyBorder="1" applyAlignment="1">
      <alignment horizontal="center" vertical="center" wrapText="1"/>
    </xf>
    <xf numFmtId="0" fontId="27" fillId="4" borderId="20" xfId="0" applyFont="1" applyFill="1" applyBorder="1" applyAlignment="1">
      <alignment horizontal="center" vertical="center" wrapText="1"/>
    </xf>
    <xf numFmtId="0" fontId="26" fillId="4" borderId="15" xfId="0" applyFont="1" applyFill="1" applyBorder="1" applyAlignment="1">
      <alignment horizontal="center" vertical="center" wrapText="1"/>
    </xf>
    <xf numFmtId="0" fontId="27" fillId="4" borderId="15" xfId="0" applyFont="1" applyFill="1" applyBorder="1" applyAlignment="1">
      <alignment horizontal="center" vertical="center" wrapText="1"/>
    </xf>
    <xf numFmtId="4" fontId="27" fillId="4" borderId="15" xfId="0" applyNumberFormat="1" applyFont="1" applyFill="1" applyBorder="1" applyAlignment="1">
      <alignment horizontal="center" vertical="center" wrapText="1"/>
    </xf>
    <xf numFmtId="4" fontId="27" fillId="4" borderId="21" xfId="0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2" fontId="28" fillId="0" borderId="0" xfId="0" applyNumberFormat="1" applyFont="1" applyBorder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88" fontId="28" fillId="0" borderId="0" xfId="0" applyNumberFormat="1" applyFont="1" applyBorder="1" applyAlignment="1">
      <alignment vertical="center" wrapText="1"/>
    </xf>
    <xf numFmtId="2" fontId="28" fillId="0" borderId="0" xfId="0" applyNumberFormat="1" applyFont="1" applyAlignment="1">
      <alignment horizontal="center" vertical="center" wrapText="1"/>
    </xf>
    <xf numFmtId="2" fontId="36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2" fontId="28" fillId="0" borderId="0" xfId="0" applyNumberFormat="1" applyFont="1" applyAlignment="1">
      <alignment vertical="center" wrapText="1"/>
    </xf>
    <xf numFmtId="0" fontId="26" fillId="0" borderId="0" xfId="0" applyFont="1" applyAlignment="1">
      <alignment vertical="center" wrapText="1"/>
    </xf>
    <xf numFmtId="2" fontId="26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49" fontId="27" fillId="28" borderId="12" xfId="0" applyNumberFormat="1" applyFont="1" applyFill="1" applyBorder="1" applyAlignment="1">
      <alignment horizontal="center" vertical="center" wrapText="1"/>
    </xf>
    <xf numFmtId="0" fontId="26" fillId="28" borderId="12" xfId="0" applyFont="1" applyFill="1" applyBorder="1" applyAlignment="1">
      <alignment horizontal="center" vertical="center" wrapText="1"/>
    </xf>
    <xf numFmtId="2" fontId="27" fillId="28" borderId="12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1" fillId="28" borderId="12" xfId="0" applyFont="1" applyFill="1" applyBorder="1" applyAlignment="1">
      <alignment vertical="center" wrapText="1"/>
    </xf>
    <xf numFmtId="2" fontId="27" fillId="25" borderId="10" xfId="0" applyNumberFormat="1" applyFont="1" applyFill="1" applyBorder="1" applyAlignment="1">
      <alignment horizontal="center" vertical="center" wrapText="1"/>
    </xf>
    <xf numFmtId="188" fontId="55" fillId="0" borderId="12" xfId="0" applyNumberFormat="1" applyFont="1" applyFill="1" applyBorder="1" applyAlignment="1">
      <alignment horizontal="center" vertical="center" wrapText="1"/>
    </xf>
    <xf numFmtId="2" fontId="55" fillId="0" borderId="12" xfId="0" applyNumberFormat="1" applyFont="1" applyFill="1" applyBorder="1" applyAlignment="1">
      <alignment horizontal="center" vertical="center" wrapText="1"/>
    </xf>
    <xf numFmtId="2" fontId="24" fillId="25" borderId="12" xfId="0" applyNumberFormat="1" applyFont="1" applyFill="1" applyBorder="1" applyAlignment="1">
      <alignment horizontal="center" vertical="center" wrapText="1"/>
    </xf>
    <xf numFmtId="2" fontId="57" fillId="25" borderId="10" xfId="0" applyNumberFormat="1" applyFont="1" applyFill="1" applyBorder="1" applyAlignment="1">
      <alignment horizontal="center" vertical="center" wrapText="1"/>
    </xf>
    <xf numFmtId="2" fontId="56" fillId="25" borderId="10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88" fontId="55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60" fillId="22" borderId="12" xfId="0" applyFont="1" applyFill="1" applyBorder="1" applyAlignment="1">
      <alignment vertical="center" wrapText="1"/>
    </xf>
    <xf numFmtId="188" fontId="60" fillId="0" borderId="12" xfId="0" applyNumberFormat="1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188" fontId="60" fillId="0" borderId="10" xfId="0" applyNumberFormat="1" applyFont="1" applyFill="1" applyBorder="1" applyAlignment="1">
      <alignment horizontal="center" vertical="center" wrapText="1"/>
    </xf>
    <xf numFmtId="0" fontId="60" fillId="28" borderId="12" xfId="0" applyFont="1" applyFill="1" applyBorder="1" applyAlignment="1">
      <alignment vertical="center" wrapText="1"/>
    </xf>
    <xf numFmtId="4" fontId="60" fillId="27" borderId="10" xfId="0" applyNumberFormat="1" applyFont="1" applyFill="1" applyBorder="1" applyAlignment="1">
      <alignment horizontal="center" vertical="center" wrapText="1"/>
    </xf>
    <xf numFmtId="4" fontId="61" fillId="22" borderId="10" xfId="0" applyNumberFormat="1" applyFont="1" applyFill="1" applyBorder="1" applyAlignment="1">
      <alignment vertical="center" wrapText="1"/>
    </xf>
    <xf numFmtId="4" fontId="60" fillId="0" borderId="0" xfId="0" applyNumberFormat="1" applyFont="1" applyAlignment="1">
      <alignment horizontal="center" vertical="center" wrapText="1"/>
    </xf>
    <xf numFmtId="4" fontId="60" fillId="4" borderId="14" xfId="0" applyNumberFormat="1" applyFont="1" applyFill="1" applyBorder="1" applyAlignment="1">
      <alignment horizontal="center" vertical="center" wrapText="1"/>
    </xf>
    <xf numFmtId="4" fontId="55" fillId="0" borderId="23" xfId="0" applyNumberFormat="1" applyFont="1" applyBorder="1" applyAlignment="1">
      <alignment horizontal="center" vertical="center" wrapText="1"/>
    </xf>
    <xf numFmtId="4" fontId="60" fillId="0" borderId="23" xfId="0" applyNumberFormat="1" applyFont="1" applyBorder="1" applyAlignment="1">
      <alignment horizontal="center" vertical="center" wrapText="1"/>
    </xf>
    <xf numFmtId="4" fontId="60" fillId="4" borderId="24" xfId="0" applyNumberFormat="1" applyFont="1" applyFill="1" applyBorder="1" applyAlignment="1">
      <alignment horizontal="center" vertical="center" wrapText="1"/>
    </xf>
    <xf numFmtId="0" fontId="61" fillId="0" borderId="0" xfId="0" applyFont="1" applyBorder="1" applyAlignment="1">
      <alignment vertical="center" wrapText="1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58" fillId="0" borderId="22" xfId="0" applyFont="1" applyBorder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193" fontId="2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188" fontId="1" fillId="0" borderId="12" xfId="0" applyNumberFormat="1" applyFont="1" applyFill="1" applyBorder="1" applyAlignment="1">
      <alignment horizontal="center" vertical="center" wrapText="1"/>
    </xf>
    <xf numFmtId="188" fontId="5" fillId="0" borderId="1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4" borderId="15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188" fontId="1" fillId="25" borderId="10" xfId="83" applyNumberFormat="1" applyFont="1" applyFill="1" applyBorder="1" applyAlignment="1">
      <alignment horizontal="center" vertical="center" wrapText="1"/>
      <protection/>
    </xf>
    <xf numFmtId="191" fontId="27" fillId="27" borderId="10" xfId="0" applyNumberFormat="1" applyFont="1" applyFill="1" applyBorder="1" applyAlignment="1">
      <alignment horizontal="center" vertical="center" wrapText="1"/>
    </xf>
    <xf numFmtId="191" fontId="5" fillId="27" borderId="12" xfId="0" applyNumberFormat="1" applyFont="1" applyFill="1" applyBorder="1" applyAlignment="1">
      <alignment horizontal="center" vertical="center" wrapText="1"/>
    </xf>
    <xf numFmtId="191" fontId="27" fillId="0" borderId="0" xfId="0" applyNumberFormat="1" applyFont="1" applyFill="1" applyBorder="1" applyAlignment="1">
      <alignment horizontal="center" vertical="center" wrapText="1"/>
    </xf>
    <xf numFmtId="191" fontId="5" fillId="0" borderId="0" xfId="0" applyNumberFormat="1" applyFont="1" applyBorder="1" applyAlignment="1">
      <alignment horizontal="center" vertical="center" wrapText="1"/>
    </xf>
    <xf numFmtId="191" fontId="27" fillId="0" borderId="0" xfId="0" applyNumberFormat="1" applyFont="1" applyAlignment="1">
      <alignment horizontal="center" vertical="center" wrapText="1"/>
    </xf>
    <xf numFmtId="191" fontId="26" fillId="0" borderId="0" xfId="0" applyNumberFormat="1" applyFont="1" applyAlignment="1">
      <alignment horizontal="center" vertical="center" wrapText="1"/>
    </xf>
    <xf numFmtId="191" fontId="27" fillId="4" borderId="14" xfId="0" applyNumberFormat="1" applyFont="1" applyFill="1" applyBorder="1" applyAlignment="1">
      <alignment horizontal="center" vertical="center" wrapText="1"/>
    </xf>
    <xf numFmtId="191" fontId="5" fillId="4" borderId="14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188" fontId="1" fillId="25" borderId="10" xfId="0" applyNumberFormat="1" applyFont="1" applyFill="1" applyBorder="1" applyAlignment="1">
      <alignment horizontal="center" vertical="center" wrapText="1"/>
    </xf>
    <xf numFmtId="2" fontId="5" fillId="25" borderId="10" xfId="0" applyNumberFormat="1" applyFont="1" applyFill="1" applyBorder="1" applyAlignment="1">
      <alignment horizontal="center" vertical="center" wrapText="1"/>
    </xf>
    <xf numFmtId="2" fontId="1" fillId="25" borderId="10" xfId="0" applyNumberFormat="1" applyFont="1" applyFill="1" applyBorder="1" applyAlignment="1">
      <alignment horizontal="center" vertical="center" wrapText="1"/>
    </xf>
    <xf numFmtId="2" fontId="1" fillId="25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188" fontId="1" fillId="24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189" fontId="1" fillId="24" borderId="12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2 2" xfId="63"/>
    <cellStyle name="Comma 2 2 2" xfId="64"/>
    <cellStyle name="Comma 3" xfId="65"/>
    <cellStyle name="Comma 3 2" xfId="66"/>
    <cellStyle name="Comma 4" xfId="67"/>
    <cellStyle name="Currency" xfId="68"/>
    <cellStyle name="Currency [0]" xfId="69"/>
    <cellStyle name="Currency 2" xfId="70"/>
    <cellStyle name="Explanatory Text" xfId="71"/>
    <cellStyle name="Followed Hyperlink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yperlink 2" xfId="79"/>
    <cellStyle name="Input" xfId="80"/>
    <cellStyle name="Linked Cell" xfId="81"/>
    <cellStyle name="Neutral" xfId="82"/>
    <cellStyle name="Normal 2" xfId="83"/>
    <cellStyle name="Normal 2 2" xfId="84"/>
    <cellStyle name="Normal 3" xfId="85"/>
    <cellStyle name="Normal 4" xfId="86"/>
    <cellStyle name="Normal 4 2" xfId="87"/>
    <cellStyle name="Normal 5" xfId="88"/>
    <cellStyle name="Note" xfId="89"/>
    <cellStyle name="Output" xfId="90"/>
    <cellStyle name="Percent" xfId="91"/>
    <cellStyle name="Style 1" xfId="92"/>
    <cellStyle name="Title" xfId="93"/>
    <cellStyle name="Total" xfId="94"/>
    <cellStyle name="Warning Text" xfId="95"/>
    <cellStyle name="Акцент1" xfId="96"/>
    <cellStyle name="Акцент2" xfId="97"/>
    <cellStyle name="Акцент3" xfId="98"/>
    <cellStyle name="Акцент4" xfId="99"/>
    <cellStyle name="Акцент5" xfId="100"/>
    <cellStyle name="Акцент6" xfId="101"/>
    <cellStyle name="Ввод " xfId="102"/>
    <cellStyle name="Вывод" xfId="103"/>
    <cellStyle name="Вычисление" xfId="104"/>
    <cellStyle name="Заголовок 1" xfId="105"/>
    <cellStyle name="Заголовок 2" xfId="106"/>
    <cellStyle name="Заголовок 3" xfId="107"/>
    <cellStyle name="Заголовок 4" xfId="108"/>
    <cellStyle name="Итог" xfId="109"/>
    <cellStyle name="Контрольная ячейка" xfId="110"/>
    <cellStyle name="Название" xfId="111"/>
    <cellStyle name="Нейтральный" xfId="112"/>
    <cellStyle name="Обычный_Лист1" xfId="113"/>
    <cellStyle name="Плохой" xfId="114"/>
    <cellStyle name="Пояснение" xfId="115"/>
    <cellStyle name="Примечание" xfId="116"/>
    <cellStyle name="Связанная ячейка" xfId="117"/>
    <cellStyle name="Текст предупреждения" xfId="118"/>
    <cellStyle name="Хороший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.Fon.%20Mamedovi%20-%202646%20-%20GE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თავფურცელ"/>
      <sheetName val="განმ.ბარათი"/>
      <sheetName val="GEO"/>
      <sheetName val="T.C. სამშ.-მოსაპ.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768"/>
  <sheetViews>
    <sheetView tabSelected="1" view="pageBreakPreview" zoomScaleSheetLayoutView="100" zoomScalePageLayoutView="0" workbookViewId="0" topLeftCell="A1">
      <selection activeCell="A2" sqref="A2:M2"/>
    </sheetView>
  </sheetViews>
  <sheetFormatPr defaultColWidth="9.140625" defaultRowHeight="12.75"/>
  <cols>
    <col min="1" max="1" width="3.8515625" style="186" customWidth="1"/>
    <col min="2" max="2" width="10.8515625" style="83" hidden="1" customWidth="1"/>
    <col min="3" max="3" width="53.8515625" style="29" customWidth="1"/>
    <col min="4" max="4" width="7.8515625" style="79" customWidth="1"/>
    <col min="5" max="5" width="6.57421875" style="180" customWidth="1"/>
    <col min="6" max="6" width="8.7109375" style="79" customWidth="1"/>
    <col min="7" max="7" width="8.8515625" style="77" customWidth="1"/>
    <col min="8" max="8" width="9.8515625" style="77" customWidth="1"/>
    <col min="9" max="9" width="8.8515625" style="251" customWidth="1"/>
    <col min="10" max="10" width="9.140625" style="79" customWidth="1"/>
    <col min="11" max="11" width="8.8515625" style="251" customWidth="1"/>
    <col min="12" max="12" width="9.140625" style="79" customWidth="1"/>
    <col min="13" max="13" width="12.7109375" style="180" customWidth="1"/>
    <col min="14" max="14" width="19.8515625" style="29" customWidth="1"/>
    <col min="15" max="15" width="12.8515625" style="79" customWidth="1"/>
    <col min="16" max="16" width="31.421875" style="29" customWidth="1"/>
    <col min="17" max="16384" width="9.140625" style="29" customWidth="1"/>
  </cols>
  <sheetData>
    <row r="1" spans="1:13" s="119" customFormat="1" ht="9" customHeight="1">
      <c r="A1" s="120"/>
      <c r="B1" s="5"/>
      <c r="C1" s="121"/>
      <c r="D1" s="121"/>
      <c r="E1" s="121"/>
      <c r="F1" s="121"/>
      <c r="G1" s="122"/>
      <c r="H1" s="293"/>
      <c r="I1" s="293"/>
      <c r="J1" s="293"/>
      <c r="K1" s="293"/>
      <c r="L1" s="123"/>
      <c r="M1" s="120"/>
    </row>
    <row r="2" spans="1:13" s="119" customFormat="1" ht="21" customHeight="1">
      <c r="A2" s="303" t="s">
        <v>310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</row>
    <row r="3" spans="1:13" s="119" customFormat="1" ht="9" customHeight="1">
      <c r="A3" s="124"/>
      <c r="B3" s="8"/>
      <c r="C3" s="125"/>
      <c r="D3" s="125"/>
      <c r="E3" s="125"/>
      <c r="F3" s="125"/>
      <c r="G3" s="126"/>
      <c r="H3" s="126"/>
      <c r="I3" s="242"/>
      <c r="J3" s="125"/>
      <c r="K3" s="242"/>
      <c r="L3" s="125"/>
      <c r="M3" s="125"/>
    </row>
    <row r="4" spans="1:13" s="119" customFormat="1" ht="14.25" customHeight="1" thickBot="1">
      <c r="A4" s="129"/>
      <c r="B4" s="17"/>
      <c r="C4" s="130"/>
      <c r="D4" s="130"/>
      <c r="E4" s="130"/>
      <c r="F4" s="130"/>
      <c r="G4" s="131"/>
      <c r="H4" s="131"/>
      <c r="I4" s="243"/>
      <c r="J4" s="130"/>
      <c r="K4" s="243"/>
      <c r="L4" s="130"/>
      <c r="M4" s="130"/>
    </row>
    <row r="5" spans="1:13" s="6" customFormat="1" ht="36" customHeight="1" thickBot="1" thickTop="1">
      <c r="A5" s="288" t="s">
        <v>3</v>
      </c>
      <c r="B5" s="289" t="s">
        <v>4</v>
      </c>
      <c r="C5" s="290" t="s">
        <v>1</v>
      </c>
      <c r="D5" s="289" t="s">
        <v>0</v>
      </c>
      <c r="E5" s="291" t="s">
        <v>42</v>
      </c>
      <c r="F5" s="291" t="s">
        <v>105</v>
      </c>
      <c r="G5" s="294" t="s">
        <v>41</v>
      </c>
      <c r="H5" s="295"/>
      <c r="I5" s="289" t="s">
        <v>38</v>
      </c>
      <c r="J5" s="289"/>
      <c r="K5" s="289" t="s">
        <v>45</v>
      </c>
      <c r="L5" s="289"/>
      <c r="M5" s="296" t="s">
        <v>39</v>
      </c>
    </row>
    <row r="6" spans="1:14" s="6" customFormat="1" ht="29.25" customHeight="1" thickBot="1" thickTop="1">
      <c r="A6" s="288"/>
      <c r="B6" s="289"/>
      <c r="C6" s="290"/>
      <c r="D6" s="289"/>
      <c r="E6" s="292"/>
      <c r="F6" s="292"/>
      <c r="G6" s="18" t="s">
        <v>40</v>
      </c>
      <c r="H6" s="13" t="s">
        <v>28</v>
      </c>
      <c r="I6" s="18" t="s">
        <v>40</v>
      </c>
      <c r="J6" s="7" t="s">
        <v>28</v>
      </c>
      <c r="K6" s="18" t="s">
        <v>40</v>
      </c>
      <c r="L6" s="7" t="s">
        <v>28</v>
      </c>
      <c r="M6" s="297"/>
      <c r="N6" s="76"/>
    </row>
    <row r="7" spans="1:13" s="190" customFormat="1" ht="14.25" customHeight="1" thickBot="1" thickTop="1">
      <c r="A7" s="86">
        <v>1</v>
      </c>
      <c r="B7" s="86">
        <v>2</v>
      </c>
      <c r="C7" s="86">
        <v>2</v>
      </c>
      <c r="D7" s="86">
        <v>3</v>
      </c>
      <c r="E7" s="86">
        <v>4</v>
      </c>
      <c r="F7" s="86">
        <v>5</v>
      </c>
      <c r="G7" s="86">
        <v>6</v>
      </c>
      <c r="H7" s="86">
        <v>7</v>
      </c>
      <c r="I7" s="86">
        <v>8</v>
      </c>
      <c r="J7" s="86">
        <v>9</v>
      </c>
      <c r="K7" s="86">
        <v>10</v>
      </c>
      <c r="L7" s="86">
        <v>11</v>
      </c>
      <c r="M7" s="86">
        <v>12</v>
      </c>
    </row>
    <row r="8" spans="1:15" s="23" customFormat="1" ht="21" customHeight="1" thickTop="1">
      <c r="A8" s="234">
        <v>1</v>
      </c>
      <c r="B8" s="239" t="s">
        <v>246</v>
      </c>
      <c r="C8" s="233" t="s">
        <v>254</v>
      </c>
      <c r="D8" s="2" t="s">
        <v>248</v>
      </c>
      <c r="E8" s="233"/>
      <c r="F8" s="266">
        <v>2.4</v>
      </c>
      <c r="G8" s="241"/>
      <c r="H8" s="49"/>
      <c r="I8" s="241"/>
      <c r="J8" s="49"/>
      <c r="K8" s="241"/>
      <c r="L8" s="49"/>
      <c r="M8" s="40"/>
      <c r="O8" s="77"/>
    </row>
    <row r="9" spans="1:15" s="23" customFormat="1" ht="15.75">
      <c r="A9" s="263"/>
      <c r="B9" s="264"/>
      <c r="C9" s="2" t="s">
        <v>228</v>
      </c>
      <c r="D9" s="2" t="s">
        <v>248</v>
      </c>
      <c r="E9" s="239">
        <v>1</v>
      </c>
      <c r="F9" s="267">
        <f>F8*E9</f>
        <v>2.4</v>
      </c>
      <c r="G9" s="262"/>
      <c r="H9" s="22"/>
      <c r="I9" s="262"/>
      <c r="J9" s="22"/>
      <c r="K9" s="239"/>
      <c r="L9" s="22"/>
      <c r="M9" s="22"/>
      <c r="O9" s="230"/>
    </row>
    <row r="10" spans="1:15" s="23" customFormat="1" ht="40.5" hidden="1">
      <c r="A10" s="234">
        <f>A8+1</f>
        <v>2</v>
      </c>
      <c r="B10" s="239" t="s">
        <v>246</v>
      </c>
      <c r="C10" s="233" t="s">
        <v>298</v>
      </c>
      <c r="D10" s="2" t="s">
        <v>10</v>
      </c>
      <c r="E10" s="233"/>
      <c r="F10" s="266"/>
      <c r="G10" s="241"/>
      <c r="H10" s="49"/>
      <c r="I10" s="241"/>
      <c r="J10" s="49"/>
      <c r="K10" s="241"/>
      <c r="L10" s="49"/>
      <c r="M10" s="40"/>
      <c r="O10" s="77"/>
    </row>
    <row r="11" spans="1:15" s="23" customFormat="1" ht="15.75" hidden="1">
      <c r="A11" s="263"/>
      <c r="B11" s="264"/>
      <c r="C11" s="2" t="s">
        <v>228</v>
      </c>
      <c r="D11" s="2" t="str">
        <f>D10</f>
        <v>cali</v>
      </c>
      <c r="E11" s="239">
        <v>1</v>
      </c>
      <c r="F11" s="267">
        <f>F10*E11</f>
        <v>0</v>
      </c>
      <c r="G11" s="262"/>
      <c r="H11" s="22"/>
      <c r="I11" s="262"/>
      <c r="J11" s="22"/>
      <c r="K11" s="239"/>
      <c r="L11" s="22"/>
      <c r="M11" s="22"/>
      <c r="O11" s="230"/>
    </row>
    <row r="12" spans="1:15" s="23" customFormat="1" ht="40.5" hidden="1">
      <c r="A12" s="234">
        <f>A10+1</f>
        <v>3</v>
      </c>
      <c r="B12" s="239" t="s">
        <v>246</v>
      </c>
      <c r="C12" s="233" t="s">
        <v>299</v>
      </c>
      <c r="D12" s="2" t="s">
        <v>10</v>
      </c>
      <c r="E12" s="233"/>
      <c r="F12" s="266"/>
      <c r="G12" s="241"/>
      <c r="H12" s="49"/>
      <c r="I12" s="241"/>
      <c r="J12" s="49"/>
      <c r="K12" s="241"/>
      <c r="L12" s="49"/>
      <c r="M12" s="40"/>
      <c r="O12" s="77"/>
    </row>
    <row r="13" spans="1:15" s="23" customFormat="1" ht="15.75" hidden="1">
      <c r="A13" s="263"/>
      <c r="B13" s="264"/>
      <c r="C13" s="2" t="s">
        <v>228</v>
      </c>
      <c r="D13" s="2" t="str">
        <f>D12</f>
        <v>cali</v>
      </c>
      <c r="E13" s="239">
        <v>1</v>
      </c>
      <c r="F13" s="267">
        <f>F12*E13</f>
        <v>0</v>
      </c>
      <c r="G13" s="262"/>
      <c r="H13" s="22"/>
      <c r="I13" s="262"/>
      <c r="J13" s="22"/>
      <c r="K13" s="239"/>
      <c r="L13" s="22"/>
      <c r="M13" s="22"/>
      <c r="O13" s="230"/>
    </row>
    <row r="14" spans="1:15" s="23" customFormat="1" ht="40.5" hidden="1">
      <c r="A14" s="234">
        <f>A10+1</f>
        <v>3</v>
      </c>
      <c r="B14" s="239" t="s">
        <v>246</v>
      </c>
      <c r="C14" s="233" t="s">
        <v>300</v>
      </c>
      <c r="D14" s="2" t="s">
        <v>10</v>
      </c>
      <c r="E14" s="233"/>
      <c r="F14" s="266"/>
      <c r="G14" s="241"/>
      <c r="H14" s="49"/>
      <c r="I14" s="241"/>
      <c r="J14" s="49"/>
      <c r="K14" s="241"/>
      <c r="L14" s="49"/>
      <c r="M14" s="40"/>
      <c r="O14" s="77"/>
    </row>
    <row r="15" spans="1:15" s="23" customFormat="1" ht="15.75" hidden="1">
      <c r="A15" s="263"/>
      <c r="B15" s="264"/>
      <c r="C15" s="2" t="s">
        <v>228</v>
      </c>
      <c r="D15" s="2" t="str">
        <f>D14</f>
        <v>cali</v>
      </c>
      <c r="E15" s="239">
        <v>1</v>
      </c>
      <c r="F15" s="267">
        <f>F14*E15</f>
        <v>0</v>
      </c>
      <c r="G15" s="262"/>
      <c r="H15" s="22"/>
      <c r="I15" s="262"/>
      <c r="J15" s="22"/>
      <c r="K15" s="239"/>
      <c r="L15" s="22"/>
      <c r="M15" s="22"/>
      <c r="O15" s="230"/>
    </row>
    <row r="16" spans="1:15" s="23" customFormat="1" ht="40.5" hidden="1">
      <c r="A16" s="234">
        <f>A14+1</f>
        <v>4</v>
      </c>
      <c r="B16" s="239" t="s">
        <v>246</v>
      </c>
      <c r="C16" s="233" t="s">
        <v>283</v>
      </c>
      <c r="D16" s="2" t="s">
        <v>10</v>
      </c>
      <c r="E16" s="233"/>
      <c r="F16" s="266"/>
      <c r="G16" s="241"/>
      <c r="H16" s="49"/>
      <c r="I16" s="241"/>
      <c r="J16" s="49"/>
      <c r="K16" s="241"/>
      <c r="L16" s="49"/>
      <c r="M16" s="40"/>
      <c r="O16" s="77"/>
    </row>
    <row r="17" spans="1:15" s="23" customFormat="1" ht="15.75" hidden="1">
      <c r="A17" s="263"/>
      <c r="B17" s="264"/>
      <c r="C17" s="2" t="s">
        <v>228</v>
      </c>
      <c r="D17" s="2" t="str">
        <f>D16</f>
        <v>cali</v>
      </c>
      <c r="E17" s="239">
        <v>1</v>
      </c>
      <c r="F17" s="267">
        <f>F16*E17</f>
        <v>0</v>
      </c>
      <c r="G17" s="262"/>
      <c r="H17" s="22"/>
      <c r="I17" s="262"/>
      <c r="J17" s="22"/>
      <c r="K17" s="239"/>
      <c r="L17" s="22"/>
      <c r="M17" s="22"/>
      <c r="O17" s="230"/>
    </row>
    <row r="18" spans="1:15" s="23" customFormat="1" ht="21" customHeight="1">
      <c r="A18" s="234">
        <f>A8+1</f>
        <v>2</v>
      </c>
      <c r="B18" s="239" t="s">
        <v>246</v>
      </c>
      <c r="C18" s="233" t="s">
        <v>306</v>
      </c>
      <c r="D18" s="2" t="s">
        <v>248</v>
      </c>
      <c r="E18" s="233"/>
      <c r="F18" s="266">
        <f>18*2*0.2*0.15</f>
        <v>1.08</v>
      </c>
      <c r="G18" s="241"/>
      <c r="H18" s="49"/>
      <c r="I18" s="241"/>
      <c r="J18" s="49"/>
      <c r="K18" s="241"/>
      <c r="L18" s="49"/>
      <c r="M18" s="40"/>
      <c r="O18" s="77"/>
    </row>
    <row r="19" spans="1:15" s="23" customFormat="1" ht="15.75">
      <c r="A19" s="263"/>
      <c r="B19" s="264"/>
      <c r="C19" s="2" t="s">
        <v>228</v>
      </c>
      <c r="D19" s="2" t="s">
        <v>248</v>
      </c>
      <c r="E19" s="239">
        <v>1</v>
      </c>
      <c r="F19" s="267">
        <f>F18*E19</f>
        <v>1.08</v>
      </c>
      <c r="G19" s="262"/>
      <c r="H19" s="22"/>
      <c r="I19" s="262"/>
      <c r="J19" s="22"/>
      <c r="K19" s="239"/>
      <c r="L19" s="22"/>
      <c r="M19" s="22"/>
      <c r="O19" s="230"/>
    </row>
    <row r="20" spans="1:15" s="23" customFormat="1" ht="40.5">
      <c r="A20" s="233">
        <f>A18+1</f>
        <v>3</v>
      </c>
      <c r="B20" s="268"/>
      <c r="C20" s="232" t="s">
        <v>301</v>
      </c>
      <c r="D20" s="2" t="s">
        <v>248</v>
      </c>
      <c r="E20" s="268"/>
      <c r="F20" s="266">
        <v>7.8</v>
      </c>
      <c r="G20" s="238"/>
      <c r="H20" s="22"/>
      <c r="I20" s="244"/>
      <c r="J20" s="22"/>
      <c r="K20" s="239"/>
      <c r="L20" s="22"/>
      <c r="M20" s="22"/>
      <c r="N20" s="78"/>
      <c r="O20" s="126"/>
    </row>
    <row r="21" spans="1:15" s="23" customFormat="1" ht="15.75">
      <c r="A21" s="269"/>
      <c r="B21" s="240"/>
      <c r="C21" s="10" t="s">
        <v>12</v>
      </c>
      <c r="D21" s="2" t="s">
        <v>248</v>
      </c>
      <c r="E21" s="240">
        <v>1</v>
      </c>
      <c r="F21" s="268">
        <f>F20*E21</f>
        <v>7.8</v>
      </c>
      <c r="G21" s="262"/>
      <c r="H21" s="22"/>
      <c r="I21" s="240"/>
      <c r="J21" s="22"/>
      <c r="K21" s="239"/>
      <c r="L21" s="22"/>
      <c r="M21" s="22"/>
      <c r="O21" s="77"/>
    </row>
    <row r="22" spans="1:13" s="53" customFormat="1" ht="27" customHeight="1" hidden="1">
      <c r="A22" s="233">
        <f>A20+1</f>
        <v>4</v>
      </c>
      <c r="B22" s="268"/>
      <c r="C22" s="237" t="s">
        <v>295</v>
      </c>
      <c r="D22" s="2" t="s">
        <v>10</v>
      </c>
      <c r="E22" s="268"/>
      <c r="F22" s="266">
        <v>0</v>
      </c>
      <c r="G22" s="238"/>
      <c r="H22" s="22"/>
      <c r="I22" s="240"/>
      <c r="J22" s="22"/>
      <c r="K22" s="240"/>
      <c r="L22" s="22"/>
      <c r="M22" s="40"/>
    </row>
    <row r="23" spans="1:13" s="53" customFormat="1" ht="15.75" customHeight="1" hidden="1">
      <c r="A23" s="263"/>
      <c r="B23" s="264"/>
      <c r="C23" s="2" t="s">
        <v>228</v>
      </c>
      <c r="D23" s="2" t="str">
        <f>D22</f>
        <v>cali</v>
      </c>
      <c r="E23" s="239">
        <v>1</v>
      </c>
      <c r="F23" s="267">
        <f>F22*E23</f>
        <v>0</v>
      </c>
      <c r="G23" s="262"/>
      <c r="H23" s="40"/>
      <c r="I23" s="239"/>
      <c r="J23" s="40"/>
      <c r="K23" s="239"/>
      <c r="L23" s="40"/>
      <c r="M23" s="40"/>
    </row>
    <row r="24" spans="1:15" s="23" customFormat="1" ht="30" customHeight="1">
      <c r="A24" s="233">
        <f>A20+1</f>
        <v>4</v>
      </c>
      <c r="B24" s="268"/>
      <c r="C24" s="232" t="s">
        <v>253</v>
      </c>
      <c r="D24" s="2" t="s">
        <v>248</v>
      </c>
      <c r="E24" s="268"/>
      <c r="F24" s="266">
        <f>18*7*0.1</f>
        <v>12.600000000000001</v>
      </c>
      <c r="G24" s="238"/>
      <c r="H24" s="15"/>
      <c r="I24" s="245"/>
      <c r="J24" s="15"/>
      <c r="K24" s="245"/>
      <c r="L24" s="15"/>
      <c r="M24" s="22"/>
      <c r="O24" s="77"/>
    </row>
    <row r="25" spans="1:15" s="23" customFormat="1" ht="15.75">
      <c r="A25" s="269"/>
      <c r="B25" s="240"/>
      <c r="C25" s="10" t="s">
        <v>12</v>
      </c>
      <c r="D25" s="2" t="s">
        <v>248</v>
      </c>
      <c r="E25" s="240">
        <v>1</v>
      </c>
      <c r="F25" s="268">
        <f>F24*E25</f>
        <v>12.600000000000001</v>
      </c>
      <c r="G25" s="262"/>
      <c r="H25" s="22"/>
      <c r="I25" s="240"/>
      <c r="J25" s="22"/>
      <c r="K25" s="239"/>
      <c r="L25" s="22"/>
      <c r="M25" s="22"/>
      <c r="O25" s="77"/>
    </row>
    <row r="26" spans="1:15" s="23" customFormat="1" ht="15.75">
      <c r="A26" s="237"/>
      <c r="B26" s="268"/>
      <c r="C26" s="232" t="s">
        <v>232</v>
      </c>
      <c r="D26" s="2" t="s">
        <v>248</v>
      </c>
      <c r="E26" s="268">
        <v>1.12</v>
      </c>
      <c r="F26" s="268">
        <f>F24*E26</f>
        <v>14.112000000000004</v>
      </c>
      <c r="G26" s="240"/>
      <c r="H26" s="22"/>
      <c r="I26" s="244"/>
      <c r="J26" s="22"/>
      <c r="K26" s="239"/>
      <c r="L26" s="22"/>
      <c r="M26" s="22"/>
      <c r="O26" s="77"/>
    </row>
    <row r="27" spans="1:15" s="23" customFormat="1" ht="30" customHeight="1" hidden="1">
      <c r="A27" s="233">
        <f>A24+1</f>
        <v>5</v>
      </c>
      <c r="B27" s="268"/>
      <c r="C27" s="232" t="s">
        <v>296</v>
      </c>
      <c r="D27" s="2" t="s">
        <v>248</v>
      </c>
      <c r="E27" s="268"/>
      <c r="F27" s="266"/>
      <c r="G27" s="238"/>
      <c r="H27" s="15"/>
      <c r="I27" s="245"/>
      <c r="J27" s="15"/>
      <c r="K27" s="245"/>
      <c r="L27" s="15"/>
      <c r="M27" s="22"/>
      <c r="O27" s="77"/>
    </row>
    <row r="28" spans="1:15" s="23" customFormat="1" ht="15.75" hidden="1">
      <c r="A28" s="269"/>
      <c r="B28" s="240"/>
      <c r="C28" s="10" t="s">
        <v>12</v>
      </c>
      <c r="D28" s="2" t="s">
        <v>248</v>
      </c>
      <c r="E28" s="240">
        <v>1</v>
      </c>
      <c r="F28" s="268">
        <f>F27*E28</f>
        <v>0</v>
      </c>
      <c r="G28" s="262"/>
      <c r="H28" s="22"/>
      <c r="I28" s="240"/>
      <c r="J28" s="22"/>
      <c r="K28" s="239"/>
      <c r="L28" s="22"/>
      <c r="M28" s="22"/>
      <c r="O28" s="77"/>
    </row>
    <row r="29" spans="1:15" s="23" customFormat="1" ht="15.75" hidden="1">
      <c r="A29" s="237"/>
      <c r="B29" s="268"/>
      <c r="C29" s="232" t="s">
        <v>297</v>
      </c>
      <c r="D29" s="2" t="s">
        <v>248</v>
      </c>
      <c r="E29" s="268">
        <v>1.12</v>
      </c>
      <c r="F29" s="268">
        <f>F27*E29</f>
        <v>0</v>
      </c>
      <c r="G29" s="240"/>
      <c r="H29" s="22"/>
      <c r="I29" s="244"/>
      <c r="J29" s="22"/>
      <c r="K29" s="239"/>
      <c r="L29" s="22"/>
      <c r="M29" s="22"/>
      <c r="O29" s="77"/>
    </row>
    <row r="30" spans="1:15" s="23" customFormat="1" ht="27">
      <c r="A30" s="234">
        <f>A24+1</f>
        <v>5</v>
      </c>
      <c r="B30" s="239"/>
      <c r="C30" s="234" t="s">
        <v>302</v>
      </c>
      <c r="D30" s="1" t="s">
        <v>5</v>
      </c>
      <c r="E30" s="265"/>
      <c r="F30" s="266">
        <f>(6+4)*2*2+(3.6+3)*2</f>
        <v>53.2</v>
      </c>
      <c r="G30" s="241"/>
      <c r="H30" s="22"/>
      <c r="I30" s="240"/>
      <c r="J30" s="22"/>
      <c r="K30" s="239"/>
      <c r="L30" s="22"/>
      <c r="M30" s="22"/>
      <c r="O30" s="77"/>
    </row>
    <row r="31" spans="1:15" s="23" customFormat="1" ht="15.75">
      <c r="A31" s="263" t="s">
        <v>247</v>
      </c>
      <c r="B31" s="264"/>
      <c r="C31" s="2" t="s">
        <v>228</v>
      </c>
      <c r="D31" s="2" t="str">
        <f>D30</f>
        <v>grZ.m.</v>
      </c>
      <c r="E31" s="265">
        <v>1</v>
      </c>
      <c r="F31" s="267">
        <f>F30*E31</f>
        <v>53.2</v>
      </c>
      <c r="G31" s="262"/>
      <c r="H31" s="22"/>
      <c r="I31" s="240"/>
      <c r="J31" s="22"/>
      <c r="K31" s="239"/>
      <c r="L31" s="22"/>
      <c r="M31" s="22"/>
      <c r="O31" s="77"/>
    </row>
    <row r="32" spans="1:15" s="23" customFormat="1" ht="15.75">
      <c r="A32" s="263"/>
      <c r="B32" s="264"/>
      <c r="C32" s="232" t="s">
        <v>230</v>
      </c>
      <c r="D32" s="9" t="s">
        <v>5</v>
      </c>
      <c r="E32" s="264">
        <v>1.05</v>
      </c>
      <c r="F32" s="267">
        <f>F30*E32</f>
        <v>55.86000000000001</v>
      </c>
      <c r="G32" s="239"/>
      <c r="H32" s="22"/>
      <c r="I32" s="245"/>
      <c r="J32" s="22"/>
      <c r="K32" s="239"/>
      <c r="L32" s="22"/>
      <c r="M32" s="22"/>
      <c r="O32" s="77"/>
    </row>
    <row r="33" spans="1:15" s="23" customFormat="1" ht="15.75">
      <c r="A33" s="263"/>
      <c r="B33" s="264"/>
      <c r="C33" s="232" t="s">
        <v>231</v>
      </c>
      <c r="D33" s="2" t="s">
        <v>248</v>
      </c>
      <c r="E33" s="264">
        <f>0.25*0.2</f>
        <v>0.05</v>
      </c>
      <c r="F33" s="267">
        <f>E33*F30</f>
        <v>2.66</v>
      </c>
      <c r="G33" s="239"/>
      <c r="H33" s="22"/>
      <c r="I33" s="240"/>
      <c r="J33" s="22"/>
      <c r="K33" s="239"/>
      <c r="L33" s="22"/>
      <c r="M33" s="22"/>
      <c r="O33" s="77"/>
    </row>
    <row r="34" spans="1:13" s="229" customFormat="1" ht="27" hidden="1">
      <c r="A34" s="233">
        <f>A30+1</f>
        <v>6</v>
      </c>
      <c r="B34" s="268"/>
      <c r="C34" s="232" t="s">
        <v>252</v>
      </c>
      <c r="D34" s="2" t="s">
        <v>249</v>
      </c>
      <c r="E34" s="268"/>
      <c r="F34" s="266">
        <v>0</v>
      </c>
      <c r="G34" s="238"/>
      <c r="H34" s="40"/>
      <c r="I34" s="239"/>
      <c r="J34" s="40"/>
      <c r="K34" s="239"/>
      <c r="L34" s="40"/>
      <c r="M34" s="40"/>
    </row>
    <row r="35" spans="1:13" s="53" customFormat="1" ht="15.75" hidden="1">
      <c r="A35" s="269"/>
      <c r="B35" s="240"/>
      <c r="C35" s="10" t="s">
        <v>12</v>
      </c>
      <c r="D35" s="2" t="s">
        <v>249</v>
      </c>
      <c r="E35" s="240">
        <v>1</v>
      </c>
      <c r="F35" s="268">
        <f>F34*E35</f>
        <v>0</v>
      </c>
      <c r="G35" s="262"/>
      <c r="H35" s="40"/>
      <c r="I35" s="239"/>
      <c r="J35" s="40"/>
      <c r="K35" s="239"/>
      <c r="L35" s="40"/>
      <c r="M35" s="40"/>
    </row>
    <row r="36" spans="1:13" s="53" customFormat="1" ht="15.75" hidden="1">
      <c r="A36" s="237"/>
      <c r="B36" s="268"/>
      <c r="C36" s="232" t="s">
        <v>234</v>
      </c>
      <c r="D36" s="2" t="s">
        <v>249</v>
      </c>
      <c r="E36" s="268">
        <v>1.05</v>
      </c>
      <c r="F36" s="268">
        <f>F34*E36</f>
        <v>0</v>
      </c>
      <c r="G36" s="240"/>
      <c r="H36" s="40"/>
      <c r="I36" s="239"/>
      <c r="J36" s="40"/>
      <c r="K36" s="239"/>
      <c r="L36" s="40"/>
      <c r="M36" s="40"/>
    </row>
    <row r="37" spans="1:13" s="53" customFormat="1" ht="15.75" hidden="1">
      <c r="A37" s="263"/>
      <c r="B37" s="264"/>
      <c r="C37" s="232" t="s">
        <v>229</v>
      </c>
      <c r="D37" s="2" t="s">
        <v>248</v>
      </c>
      <c r="E37" s="264">
        <v>0.15</v>
      </c>
      <c r="F37" s="267">
        <f>E37*F34</f>
        <v>0</v>
      </c>
      <c r="G37" s="239"/>
      <c r="H37" s="40"/>
      <c r="I37" s="239"/>
      <c r="J37" s="40"/>
      <c r="K37" s="239"/>
      <c r="L37" s="40"/>
      <c r="M37" s="40"/>
    </row>
    <row r="38" spans="1:13" s="229" customFormat="1" ht="27">
      <c r="A38" s="233">
        <f>A30+1</f>
        <v>6</v>
      </c>
      <c r="B38" s="264"/>
      <c r="C38" s="235" t="s">
        <v>257</v>
      </c>
      <c r="D38" s="2" t="s">
        <v>248</v>
      </c>
      <c r="E38" s="270"/>
      <c r="F38" s="266">
        <f>F42*0.12</f>
        <v>7.055999999999999</v>
      </c>
      <c r="G38" s="241"/>
      <c r="H38" s="40"/>
      <c r="I38" s="239"/>
      <c r="J38" s="40"/>
      <c r="K38" s="239"/>
      <c r="L38" s="40"/>
      <c r="M38" s="40"/>
    </row>
    <row r="39" spans="1:13" s="53" customFormat="1" ht="15.75">
      <c r="A39" s="269"/>
      <c r="B39" s="271"/>
      <c r="C39" s="9" t="s">
        <v>12</v>
      </c>
      <c r="D39" s="2" t="s">
        <v>248</v>
      </c>
      <c r="E39" s="271">
        <v>1</v>
      </c>
      <c r="F39" s="268">
        <f>F38*E39</f>
        <v>7.055999999999999</v>
      </c>
      <c r="G39" s="262"/>
      <c r="H39" s="40"/>
      <c r="I39" s="239"/>
      <c r="J39" s="40"/>
      <c r="K39" s="239"/>
      <c r="L39" s="40"/>
      <c r="M39" s="40"/>
    </row>
    <row r="40" spans="1:13" s="53" customFormat="1" ht="15.75">
      <c r="A40" s="263"/>
      <c r="B40" s="264"/>
      <c r="C40" s="232" t="s">
        <v>231</v>
      </c>
      <c r="D40" s="2" t="s">
        <v>248</v>
      </c>
      <c r="E40" s="264">
        <v>1.02</v>
      </c>
      <c r="F40" s="267">
        <f>E40*F38</f>
        <v>7.197119999999999</v>
      </c>
      <c r="G40" s="239"/>
      <c r="H40" s="40"/>
      <c r="I40" s="239"/>
      <c r="J40" s="40"/>
      <c r="K40" s="239"/>
      <c r="L40" s="40"/>
      <c r="M40" s="40"/>
    </row>
    <row r="41" spans="1:13" s="52" customFormat="1" ht="15" customHeight="1">
      <c r="A41" s="263"/>
      <c r="B41" s="264"/>
      <c r="C41" s="232" t="s">
        <v>235</v>
      </c>
      <c r="D41" s="2" t="s">
        <v>226</v>
      </c>
      <c r="E41" s="264">
        <v>2.2</v>
      </c>
      <c r="F41" s="267">
        <f>E41*F38</f>
        <v>15.5232</v>
      </c>
      <c r="G41" s="239"/>
      <c r="H41" s="40"/>
      <c r="I41" s="239"/>
      <c r="J41" s="40"/>
      <c r="K41" s="239"/>
      <c r="L41" s="40"/>
      <c r="M41" s="40"/>
    </row>
    <row r="42" spans="1:13" s="231" customFormat="1" ht="18" customHeight="1">
      <c r="A42" s="233">
        <f>A38+1</f>
        <v>7</v>
      </c>
      <c r="B42" s="264" t="s">
        <v>94</v>
      </c>
      <c r="C42" s="235" t="s">
        <v>308</v>
      </c>
      <c r="D42" s="233" t="s">
        <v>233</v>
      </c>
      <c r="E42" s="270"/>
      <c r="F42" s="266">
        <f>(3*3.6)+4*6*2</f>
        <v>58.8</v>
      </c>
      <c r="G42" s="240"/>
      <c r="H42" s="40"/>
      <c r="I42" s="239"/>
      <c r="J42" s="40"/>
      <c r="K42" s="239"/>
      <c r="L42" s="40"/>
      <c r="M42" s="40"/>
    </row>
    <row r="43" spans="1:13" s="4" customFormat="1" ht="15.75">
      <c r="A43" s="269"/>
      <c r="B43" s="271"/>
      <c r="C43" s="9" t="s">
        <v>12</v>
      </c>
      <c r="D43" s="2" t="s">
        <v>226</v>
      </c>
      <c r="E43" s="271">
        <v>1</v>
      </c>
      <c r="F43" s="268">
        <f>F42*E43</f>
        <v>58.8</v>
      </c>
      <c r="G43" s="262"/>
      <c r="H43" s="40"/>
      <c r="I43" s="239"/>
      <c r="J43" s="40"/>
      <c r="K43" s="239"/>
      <c r="L43" s="40"/>
      <c r="M43" s="40"/>
    </row>
    <row r="44" spans="1:13" s="272" customFormat="1" ht="15.75">
      <c r="A44" s="263"/>
      <c r="B44" s="264"/>
      <c r="C44" s="232" t="s">
        <v>256</v>
      </c>
      <c r="D44" s="2" t="s">
        <v>249</v>
      </c>
      <c r="E44" s="264">
        <v>1.02</v>
      </c>
      <c r="F44" s="267">
        <f>E44*F42</f>
        <v>59.976</v>
      </c>
      <c r="G44" s="240"/>
      <c r="H44" s="40"/>
      <c r="I44" s="239"/>
      <c r="J44" s="40"/>
      <c r="K44" s="239"/>
      <c r="L44" s="40"/>
      <c r="M44" s="40"/>
    </row>
    <row r="45" spans="1:15" s="23" customFormat="1" ht="27" hidden="1">
      <c r="A45" s="234">
        <f>A42+1</f>
        <v>8</v>
      </c>
      <c r="B45" s="239"/>
      <c r="C45" s="233" t="s">
        <v>251</v>
      </c>
      <c r="D45" s="2" t="s">
        <v>248</v>
      </c>
      <c r="E45" s="233"/>
      <c r="F45" s="266">
        <v>0</v>
      </c>
      <c r="G45" s="241"/>
      <c r="H45" s="22"/>
      <c r="I45" s="239"/>
      <c r="J45" s="22"/>
      <c r="K45" s="239"/>
      <c r="L45" s="22"/>
      <c r="M45" s="22"/>
      <c r="O45" s="77"/>
    </row>
    <row r="46" spans="1:13" s="53" customFormat="1" ht="15.75" hidden="1">
      <c r="A46" s="263"/>
      <c r="B46" s="239"/>
      <c r="C46" s="2" t="s">
        <v>228</v>
      </c>
      <c r="D46" s="2" t="s">
        <v>248</v>
      </c>
      <c r="E46" s="239">
        <v>1</v>
      </c>
      <c r="F46" s="267">
        <f>F45*E46</f>
        <v>0</v>
      </c>
      <c r="G46" s="262"/>
      <c r="H46" s="40"/>
      <c r="I46" s="239"/>
      <c r="J46" s="40"/>
      <c r="K46" s="239"/>
      <c r="L46" s="40"/>
      <c r="M46" s="40"/>
    </row>
    <row r="47" spans="1:13" s="229" customFormat="1" ht="15.75" hidden="1">
      <c r="A47" s="263"/>
      <c r="B47" s="239"/>
      <c r="C47" s="232" t="s">
        <v>236</v>
      </c>
      <c r="D47" s="2" t="s">
        <v>248</v>
      </c>
      <c r="E47" s="239">
        <v>1.15</v>
      </c>
      <c r="F47" s="267">
        <f>F45*E47</f>
        <v>0</v>
      </c>
      <c r="G47" s="262"/>
      <c r="H47" s="40"/>
      <c r="I47" s="239"/>
      <c r="J47" s="40"/>
      <c r="K47" s="239"/>
      <c r="L47" s="40"/>
      <c r="M47" s="40"/>
    </row>
    <row r="48" spans="1:13" s="229" customFormat="1" ht="40.5" hidden="1">
      <c r="A48" s="233">
        <f>A45+1</f>
        <v>9</v>
      </c>
      <c r="B48" s="264"/>
      <c r="C48" s="235" t="s">
        <v>282</v>
      </c>
      <c r="D48" s="1" t="s">
        <v>10</v>
      </c>
      <c r="E48" s="265"/>
      <c r="F48" s="266">
        <v>0</v>
      </c>
      <c r="G48" s="238"/>
      <c r="H48" s="40"/>
      <c r="I48" s="239"/>
      <c r="J48" s="40"/>
      <c r="K48" s="239"/>
      <c r="L48" s="40"/>
      <c r="M48" s="40"/>
    </row>
    <row r="49" spans="1:13" s="53" customFormat="1" ht="15.75" hidden="1">
      <c r="A49" s="269"/>
      <c r="B49" s="271"/>
      <c r="C49" s="9" t="s">
        <v>12</v>
      </c>
      <c r="D49" s="2" t="str">
        <f>D48</f>
        <v>cali</v>
      </c>
      <c r="E49" s="271">
        <v>1</v>
      </c>
      <c r="F49" s="268">
        <f>F48*E49</f>
        <v>0</v>
      </c>
      <c r="G49" s="262"/>
      <c r="H49" s="40"/>
      <c r="I49" s="244"/>
      <c r="J49" s="40"/>
      <c r="K49" s="239"/>
      <c r="L49" s="40"/>
      <c r="M49" s="40"/>
    </row>
    <row r="50" spans="1:13" s="53" customFormat="1" ht="15.75" hidden="1">
      <c r="A50" s="237"/>
      <c r="B50" s="268"/>
      <c r="C50" s="232" t="s">
        <v>285</v>
      </c>
      <c r="D50" s="9" t="s">
        <v>5</v>
      </c>
      <c r="E50" s="273">
        <v>10.4</v>
      </c>
      <c r="F50" s="268">
        <f>F48*E50</f>
        <v>0</v>
      </c>
      <c r="G50" s="240"/>
      <c r="H50" s="40"/>
      <c r="I50" s="239"/>
      <c r="J50" s="40"/>
      <c r="K50" s="239"/>
      <c r="L50" s="40"/>
      <c r="M50" s="40"/>
    </row>
    <row r="51" spans="1:13" s="53" customFormat="1" ht="15.75" hidden="1">
      <c r="A51" s="237"/>
      <c r="B51" s="268"/>
      <c r="C51" s="232" t="s">
        <v>286</v>
      </c>
      <c r="D51" s="9" t="s">
        <v>5</v>
      </c>
      <c r="E51" s="273">
        <v>11.1</v>
      </c>
      <c r="F51" s="268">
        <f>F48*E51</f>
        <v>0</v>
      </c>
      <c r="G51" s="240"/>
      <c r="H51" s="40"/>
      <c r="I51" s="239"/>
      <c r="J51" s="40"/>
      <c r="K51" s="239"/>
      <c r="L51" s="40"/>
      <c r="M51" s="40"/>
    </row>
    <row r="52" spans="1:13" s="53" customFormat="1" ht="15.75" hidden="1">
      <c r="A52" s="237"/>
      <c r="B52" s="268"/>
      <c r="C52" s="232" t="s">
        <v>287</v>
      </c>
      <c r="D52" s="9" t="s">
        <v>5</v>
      </c>
      <c r="E52" s="273">
        <v>18</v>
      </c>
      <c r="F52" s="268">
        <f>F48*E52</f>
        <v>0</v>
      </c>
      <c r="G52" s="240"/>
      <c r="H52" s="40"/>
      <c r="I52" s="239"/>
      <c r="J52" s="40"/>
      <c r="K52" s="239"/>
      <c r="L52" s="40"/>
      <c r="M52" s="40"/>
    </row>
    <row r="53" spans="1:13" s="53" customFormat="1" ht="15.75" hidden="1">
      <c r="A53" s="237"/>
      <c r="B53" s="268"/>
      <c r="C53" s="232" t="s">
        <v>288</v>
      </c>
      <c r="D53" s="9" t="s">
        <v>5</v>
      </c>
      <c r="E53" s="273">
        <v>2.4</v>
      </c>
      <c r="F53" s="268">
        <f>F49*E53</f>
        <v>0</v>
      </c>
      <c r="G53" s="240"/>
      <c r="H53" s="40"/>
      <c r="I53" s="239"/>
      <c r="J53" s="40"/>
      <c r="K53" s="239"/>
      <c r="L53" s="40"/>
      <c r="M53" s="40"/>
    </row>
    <row r="54" spans="1:13" s="229" customFormat="1" ht="15.75" hidden="1">
      <c r="A54" s="263"/>
      <c r="B54" s="264"/>
      <c r="C54" s="232" t="s">
        <v>231</v>
      </c>
      <c r="D54" s="2" t="s">
        <v>248</v>
      </c>
      <c r="E54" s="264">
        <v>0.36</v>
      </c>
      <c r="F54" s="267">
        <f>E54*F48</f>
        <v>0</v>
      </c>
      <c r="G54" s="239"/>
      <c r="H54" s="40"/>
      <c r="I54" s="239"/>
      <c r="J54" s="40"/>
      <c r="K54" s="239"/>
      <c r="L54" s="40"/>
      <c r="M54" s="40"/>
    </row>
    <row r="55" spans="1:13" s="53" customFormat="1" ht="15.75" hidden="1">
      <c r="A55" s="237"/>
      <c r="B55" s="268"/>
      <c r="C55" s="232" t="s">
        <v>85</v>
      </c>
      <c r="D55" s="232" t="s">
        <v>10</v>
      </c>
      <c r="E55" s="273">
        <v>2</v>
      </c>
      <c r="F55" s="268">
        <f>F48*E55</f>
        <v>0</v>
      </c>
      <c r="G55" s="240"/>
      <c r="H55" s="40"/>
      <c r="I55" s="239"/>
      <c r="J55" s="40"/>
      <c r="K55" s="239"/>
      <c r="L55" s="40"/>
      <c r="M55" s="40"/>
    </row>
    <row r="56" spans="1:13" s="53" customFormat="1" ht="15.75" hidden="1">
      <c r="A56" s="237"/>
      <c r="B56" s="268"/>
      <c r="C56" s="232" t="s">
        <v>237</v>
      </c>
      <c r="D56" s="232" t="s">
        <v>81</v>
      </c>
      <c r="E56" s="273">
        <v>5</v>
      </c>
      <c r="F56" s="268">
        <f>F48*E56</f>
        <v>0</v>
      </c>
      <c r="G56" s="240"/>
      <c r="H56" s="40"/>
      <c r="I56" s="239"/>
      <c r="J56" s="40"/>
      <c r="K56" s="239"/>
      <c r="L56" s="40"/>
      <c r="M56" s="40"/>
    </row>
    <row r="57" spans="1:13" s="53" customFormat="1" ht="15.75" hidden="1">
      <c r="A57" s="2"/>
      <c r="B57" s="274"/>
      <c r="C57" s="275" t="s">
        <v>227</v>
      </c>
      <c r="D57" s="1" t="s">
        <v>226</v>
      </c>
      <c r="E57" s="274">
        <v>7.75</v>
      </c>
      <c r="F57" s="267">
        <f>F48*E57</f>
        <v>0</v>
      </c>
      <c r="G57" s="274"/>
      <c r="H57" s="40"/>
      <c r="I57" s="239"/>
      <c r="J57" s="40"/>
      <c r="K57" s="239"/>
      <c r="L57" s="40"/>
      <c r="M57" s="40"/>
    </row>
    <row r="58" spans="1:13" s="53" customFormat="1" ht="29.25" hidden="1">
      <c r="A58" s="233">
        <f>A48+1</f>
        <v>10</v>
      </c>
      <c r="B58" s="274"/>
      <c r="C58" s="236" t="s">
        <v>281</v>
      </c>
      <c r="D58" s="2" t="s">
        <v>248</v>
      </c>
      <c r="E58" s="235"/>
      <c r="F58" s="266">
        <v>0</v>
      </c>
      <c r="G58" s="238"/>
      <c r="H58" s="40"/>
      <c r="I58" s="239"/>
      <c r="J58" s="40"/>
      <c r="K58" s="253"/>
      <c r="L58" s="40"/>
      <c r="M58" s="40"/>
    </row>
    <row r="59" spans="1:13" s="53" customFormat="1" ht="15.75" hidden="1">
      <c r="A59" s="2"/>
      <c r="B59" s="274"/>
      <c r="C59" s="275" t="s">
        <v>12</v>
      </c>
      <c r="D59" s="1" t="s">
        <v>248</v>
      </c>
      <c r="E59" s="274">
        <v>1</v>
      </c>
      <c r="F59" s="267">
        <f>F58*E59</f>
        <v>0</v>
      </c>
      <c r="G59" s="262"/>
      <c r="H59" s="40"/>
      <c r="I59" s="239"/>
      <c r="J59" s="40"/>
      <c r="K59" s="239"/>
      <c r="L59" s="40"/>
      <c r="M59" s="40"/>
    </row>
    <row r="60" spans="1:13" s="53" customFormat="1" ht="15.75" hidden="1">
      <c r="A60" s="2"/>
      <c r="B60" s="239"/>
      <c r="C60" s="275" t="s">
        <v>238</v>
      </c>
      <c r="D60" s="1" t="s">
        <v>248</v>
      </c>
      <c r="E60" s="276">
        <v>1.1</v>
      </c>
      <c r="F60" s="267">
        <f>F58*E60</f>
        <v>0</v>
      </c>
      <c r="G60" s="274"/>
      <c r="H60" s="40"/>
      <c r="I60" s="239"/>
      <c r="J60" s="40"/>
      <c r="K60" s="239"/>
      <c r="L60" s="40"/>
      <c r="M60" s="40"/>
    </row>
    <row r="61" spans="1:13" s="229" customFormat="1" ht="15.75" hidden="1">
      <c r="A61" s="2"/>
      <c r="B61" s="274"/>
      <c r="C61" s="275" t="s">
        <v>227</v>
      </c>
      <c r="D61" s="1" t="s">
        <v>226</v>
      </c>
      <c r="E61" s="276">
        <v>5</v>
      </c>
      <c r="F61" s="267">
        <f>F58*E61</f>
        <v>0</v>
      </c>
      <c r="G61" s="274"/>
      <c r="H61" s="40"/>
      <c r="I61" s="239"/>
      <c r="J61" s="40"/>
      <c r="K61" s="239"/>
      <c r="L61" s="40"/>
      <c r="M61" s="40"/>
    </row>
    <row r="62" spans="1:13" s="53" customFormat="1" ht="27" hidden="1">
      <c r="A62" s="233">
        <f>A58+1</f>
        <v>11</v>
      </c>
      <c r="B62" s="274"/>
      <c r="C62" s="235" t="s">
        <v>289</v>
      </c>
      <c r="D62" s="2" t="s">
        <v>249</v>
      </c>
      <c r="E62" s="270"/>
      <c r="F62" s="266">
        <v>0</v>
      </c>
      <c r="G62" s="238"/>
      <c r="H62" s="40"/>
      <c r="I62" s="239"/>
      <c r="J62" s="40"/>
      <c r="K62" s="239"/>
      <c r="L62" s="40"/>
      <c r="M62" s="40"/>
    </row>
    <row r="63" spans="1:13" s="53" customFormat="1" ht="15.75" hidden="1">
      <c r="A63" s="9"/>
      <c r="B63" s="271"/>
      <c r="C63" s="9" t="s">
        <v>12</v>
      </c>
      <c r="D63" s="9" t="s">
        <v>249</v>
      </c>
      <c r="E63" s="271">
        <v>1</v>
      </c>
      <c r="F63" s="268">
        <f>F62*E63</f>
        <v>0</v>
      </c>
      <c r="G63" s="262"/>
      <c r="H63" s="40"/>
      <c r="I63" s="239"/>
      <c r="J63" s="40"/>
      <c r="K63" s="239"/>
      <c r="L63" s="40"/>
      <c r="M63" s="40"/>
    </row>
    <row r="64" spans="1:13" s="53" customFormat="1" ht="15.75" hidden="1">
      <c r="A64" s="9"/>
      <c r="B64" s="271"/>
      <c r="C64" s="9" t="s">
        <v>258</v>
      </c>
      <c r="D64" s="9" t="s">
        <v>249</v>
      </c>
      <c r="E64" s="271">
        <v>1.25</v>
      </c>
      <c r="F64" s="268">
        <f>F62*E64</f>
        <v>0</v>
      </c>
      <c r="G64" s="277"/>
      <c r="H64" s="40"/>
      <c r="I64" s="239"/>
      <c r="J64" s="40"/>
      <c r="K64" s="239"/>
      <c r="L64" s="40"/>
      <c r="M64" s="40"/>
    </row>
    <row r="65" spans="1:13" s="53" customFormat="1" ht="15.75" hidden="1">
      <c r="A65" s="9"/>
      <c r="B65" s="271"/>
      <c r="C65" s="9" t="s">
        <v>260</v>
      </c>
      <c r="D65" s="9" t="s">
        <v>5</v>
      </c>
      <c r="E65" s="271">
        <v>1</v>
      </c>
      <c r="F65" s="268">
        <v>3.85</v>
      </c>
      <c r="G65" s="277"/>
      <c r="H65" s="40"/>
      <c r="I65" s="239"/>
      <c r="J65" s="40"/>
      <c r="K65" s="239"/>
      <c r="L65" s="40"/>
      <c r="M65" s="40"/>
    </row>
    <row r="66" spans="1:13" s="53" customFormat="1" ht="15.75" hidden="1">
      <c r="A66" s="9"/>
      <c r="B66" s="271"/>
      <c r="C66" s="9" t="s">
        <v>239</v>
      </c>
      <c r="D66" s="9" t="s">
        <v>10</v>
      </c>
      <c r="E66" s="271">
        <v>6</v>
      </c>
      <c r="F66" s="268">
        <f>F62*E66</f>
        <v>0</v>
      </c>
      <c r="G66" s="271"/>
      <c r="H66" s="40"/>
      <c r="I66" s="239"/>
      <c r="J66" s="40"/>
      <c r="K66" s="239"/>
      <c r="L66" s="40"/>
      <c r="M66" s="40"/>
    </row>
    <row r="67" spans="1:13" s="53" customFormat="1" ht="15.75" hidden="1">
      <c r="A67" s="9"/>
      <c r="B67" s="271"/>
      <c r="C67" s="9" t="s">
        <v>227</v>
      </c>
      <c r="D67" s="9" t="s">
        <v>226</v>
      </c>
      <c r="E67" s="271">
        <v>0.5</v>
      </c>
      <c r="F67" s="268">
        <f>F62*E67</f>
        <v>0</v>
      </c>
      <c r="G67" s="277"/>
      <c r="H67" s="40"/>
      <c r="I67" s="239"/>
      <c r="J67" s="40"/>
      <c r="K67" s="239"/>
      <c r="L67" s="40"/>
      <c r="M67" s="40"/>
    </row>
    <row r="68" spans="1:13" s="53" customFormat="1" ht="27" hidden="1">
      <c r="A68" s="233">
        <f>A62+1</f>
        <v>12</v>
      </c>
      <c r="B68" s="264"/>
      <c r="C68" s="234" t="s">
        <v>280</v>
      </c>
      <c r="D68" s="1" t="s">
        <v>10</v>
      </c>
      <c r="E68" s="235"/>
      <c r="F68" s="266">
        <v>0</v>
      </c>
      <c r="G68" s="238"/>
      <c r="H68" s="40"/>
      <c r="I68" s="239"/>
      <c r="J68" s="40"/>
      <c r="K68" s="239"/>
      <c r="L68" s="40"/>
      <c r="M68" s="40"/>
    </row>
    <row r="69" spans="1:13" s="229" customFormat="1" ht="15.75" hidden="1">
      <c r="A69" s="269"/>
      <c r="B69" s="271"/>
      <c r="C69" s="9" t="s">
        <v>12</v>
      </c>
      <c r="D69" s="2" t="str">
        <f>D68</f>
        <v>cali</v>
      </c>
      <c r="E69" s="271">
        <v>1</v>
      </c>
      <c r="F69" s="268">
        <f>F68*E69</f>
        <v>0</v>
      </c>
      <c r="G69" s="262"/>
      <c r="H69" s="40"/>
      <c r="I69" s="239"/>
      <c r="J69" s="40"/>
      <c r="K69" s="239"/>
      <c r="L69" s="40"/>
      <c r="M69" s="40"/>
    </row>
    <row r="70" spans="1:13" s="53" customFormat="1" ht="15.75" hidden="1">
      <c r="A70" s="237"/>
      <c r="B70" s="268"/>
      <c r="C70" s="232" t="s">
        <v>261</v>
      </c>
      <c r="D70" s="9" t="s">
        <v>249</v>
      </c>
      <c r="E70" s="273">
        <v>2.5</v>
      </c>
      <c r="F70" s="268">
        <f>F68*E70</f>
        <v>0</v>
      </c>
      <c r="G70" s="240"/>
      <c r="H70" s="40"/>
      <c r="I70" s="239"/>
      <c r="J70" s="40"/>
      <c r="K70" s="239"/>
      <c r="L70" s="40"/>
      <c r="M70" s="40"/>
    </row>
    <row r="71" spans="1:13" s="53" customFormat="1" ht="15.75" hidden="1">
      <c r="A71" s="237"/>
      <c r="B71" s="268"/>
      <c r="C71" s="232" t="s">
        <v>286</v>
      </c>
      <c r="D71" s="9" t="s">
        <v>5</v>
      </c>
      <c r="E71" s="273">
        <v>11</v>
      </c>
      <c r="F71" s="268">
        <f>F68*E71</f>
        <v>0</v>
      </c>
      <c r="G71" s="240"/>
      <c r="H71" s="40"/>
      <c r="I71" s="239"/>
      <c r="J71" s="40"/>
      <c r="K71" s="239"/>
      <c r="L71" s="40"/>
      <c r="M71" s="40"/>
    </row>
    <row r="72" spans="1:13" s="53" customFormat="1" ht="15.75" hidden="1">
      <c r="A72" s="237"/>
      <c r="B72" s="268"/>
      <c r="C72" s="232" t="s">
        <v>288</v>
      </c>
      <c r="D72" s="9" t="s">
        <v>5</v>
      </c>
      <c r="E72" s="273">
        <v>2.4</v>
      </c>
      <c r="F72" s="268">
        <f>F68*E72</f>
        <v>0</v>
      </c>
      <c r="G72" s="240"/>
      <c r="H72" s="40"/>
      <c r="I72" s="239"/>
      <c r="J72" s="40"/>
      <c r="K72" s="239"/>
      <c r="L72" s="40"/>
      <c r="M72" s="40"/>
    </row>
    <row r="73" spans="1:13" s="53" customFormat="1" ht="15.75" hidden="1">
      <c r="A73" s="263"/>
      <c r="B73" s="264"/>
      <c r="C73" s="232" t="s">
        <v>231</v>
      </c>
      <c r="D73" s="2" t="s">
        <v>248</v>
      </c>
      <c r="E73" s="264">
        <v>0.4</v>
      </c>
      <c r="F73" s="267">
        <f>E73*F68</f>
        <v>0</v>
      </c>
      <c r="G73" s="239"/>
      <c r="H73" s="40"/>
      <c r="I73" s="239"/>
      <c r="J73" s="40"/>
      <c r="K73" s="239"/>
      <c r="L73" s="40"/>
      <c r="M73" s="40"/>
    </row>
    <row r="74" spans="1:13" s="53" customFormat="1" ht="15.75" hidden="1">
      <c r="A74" s="237"/>
      <c r="B74" s="268"/>
      <c r="C74" s="232" t="s">
        <v>85</v>
      </c>
      <c r="D74" s="232" t="s">
        <v>10</v>
      </c>
      <c r="E74" s="273">
        <v>1</v>
      </c>
      <c r="F74" s="268">
        <f>F68*E74</f>
        <v>0</v>
      </c>
      <c r="G74" s="240"/>
      <c r="H74" s="40"/>
      <c r="I74" s="239"/>
      <c r="J74" s="40"/>
      <c r="K74" s="239"/>
      <c r="L74" s="40"/>
      <c r="M74" s="40"/>
    </row>
    <row r="75" spans="1:13" s="53" customFormat="1" ht="15.75" hidden="1">
      <c r="A75" s="237"/>
      <c r="B75" s="268"/>
      <c r="C75" s="232" t="s">
        <v>237</v>
      </c>
      <c r="D75" s="232" t="s">
        <v>81</v>
      </c>
      <c r="E75" s="273">
        <v>3</v>
      </c>
      <c r="F75" s="268">
        <f>F68*E75</f>
        <v>0</v>
      </c>
      <c r="G75" s="240"/>
      <c r="H75" s="40"/>
      <c r="I75" s="239"/>
      <c r="J75" s="40"/>
      <c r="K75" s="239"/>
      <c r="L75" s="40"/>
      <c r="M75" s="40"/>
    </row>
    <row r="76" spans="1:13" s="53" customFormat="1" ht="15.75" hidden="1">
      <c r="A76" s="2"/>
      <c r="B76" s="274"/>
      <c r="C76" s="275" t="s">
        <v>227</v>
      </c>
      <c r="D76" s="1" t="s">
        <v>226</v>
      </c>
      <c r="E76" s="274">
        <v>5.55</v>
      </c>
      <c r="F76" s="267">
        <f>F68*E76</f>
        <v>0</v>
      </c>
      <c r="G76" s="274"/>
      <c r="H76" s="40"/>
      <c r="I76" s="239"/>
      <c r="J76" s="40"/>
      <c r="K76" s="239"/>
      <c r="L76" s="40"/>
      <c r="M76" s="40"/>
    </row>
    <row r="77" spans="1:13" s="16" customFormat="1" ht="27" hidden="1">
      <c r="A77" s="233">
        <f>A68+1</f>
        <v>13</v>
      </c>
      <c r="B77" s="264"/>
      <c r="C77" s="234" t="s">
        <v>279</v>
      </c>
      <c r="D77" s="1" t="s">
        <v>10</v>
      </c>
      <c r="E77" s="266"/>
      <c r="F77" s="266"/>
      <c r="G77" s="238"/>
      <c r="H77" s="36"/>
      <c r="I77" s="246"/>
      <c r="J77" s="49"/>
      <c r="K77" s="246"/>
      <c r="L77" s="49"/>
      <c r="M77" s="22"/>
    </row>
    <row r="78" spans="1:13" s="19" customFormat="1" ht="15.75" hidden="1">
      <c r="A78" s="269"/>
      <c r="B78" s="268"/>
      <c r="C78" s="232" t="s">
        <v>12</v>
      </c>
      <c r="D78" s="2" t="str">
        <f>D77</f>
        <v>cali</v>
      </c>
      <c r="E78" s="268">
        <v>1</v>
      </c>
      <c r="F78" s="268">
        <f>F77*E78</f>
        <v>0</v>
      </c>
      <c r="G78" s="262"/>
      <c r="H78" s="22"/>
      <c r="I78" s="265"/>
      <c r="J78" s="40"/>
      <c r="K78" s="239"/>
      <c r="L78" s="40"/>
      <c r="M78" s="22"/>
    </row>
    <row r="79" spans="1:13" s="53" customFormat="1" ht="15.75" hidden="1">
      <c r="A79" s="237"/>
      <c r="B79" s="268"/>
      <c r="C79" s="232" t="s">
        <v>285</v>
      </c>
      <c r="D79" s="9" t="s">
        <v>5</v>
      </c>
      <c r="E79" s="268">
        <v>5.25</v>
      </c>
      <c r="F79" s="268">
        <f>F77*E79</f>
        <v>0</v>
      </c>
      <c r="G79" s="240"/>
      <c r="H79" s="40"/>
      <c r="I79" s="239"/>
      <c r="J79" s="40"/>
      <c r="K79" s="239"/>
      <c r="L79" s="40"/>
      <c r="M79" s="40"/>
    </row>
    <row r="80" spans="1:13" s="53" customFormat="1" ht="15.75" hidden="1">
      <c r="A80" s="237"/>
      <c r="B80" s="268"/>
      <c r="C80" s="232" t="s">
        <v>288</v>
      </c>
      <c r="D80" s="9" t="s">
        <v>5</v>
      </c>
      <c r="E80" s="273">
        <v>1.8</v>
      </c>
      <c r="F80" s="268">
        <f>F77*E80</f>
        <v>0</v>
      </c>
      <c r="G80" s="240"/>
      <c r="H80" s="40"/>
      <c r="I80" s="239"/>
      <c r="J80" s="40"/>
      <c r="K80" s="239"/>
      <c r="L80" s="40"/>
      <c r="M80" s="40"/>
    </row>
    <row r="81" spans="1:13" s="53" customFormat="1" ht="15.75" hidden="1">
      <c r="A81" s="263"/>
      <c r="B81" s="264"/>
      <c r="C81" s="232" t="s">
        <v>231</v>
      </c>
      <c r="D81" s="2" t="s">
        <v>248</v>
      </c>
      <c r="E81" s="264">
        <f>0.2*0.25*0.25*4*1.2</f>
        <v>0.06</v>
      </c>
      <c r="F81" s="267">
        <f>E81*F77</f>
        <v>0</v>
      </c>
      <c r="G81" s="239"/>
      <c r="H81" s="40"/>
      <c r="I81" s="239"/>
      <c r="J81" s="40"/>
      <c r="K81" s="239"/>
      <c r="L81" s="40"/>
      <c r="M81" s="40"/>
    </row>
    <row r="82" spans="1:13" s="53" customFormat="1" ht="15.75" hidden="1">
      <c r="A82" s="2"/>
      <c r="B82" s="239"/>
      <c r="C82" s="275" t="s">
        <v>262</v>
      </c>
      <c r="D82" s="1" t="s">
        <v>248</v>
      </c>
      <c r="E82" s="274">
        <f>14*0.08*0.05</f>
        <v>0.05600000000000001</v>
      </c>
      <c r="F82" s="267">
        <f>F77*E82</f>
        <v>0</v>
      </c>
      <c r="G82" s="274"/>
      <c r="H82" s="40"/>
      <c r="I82" s="239"/>
      <c r="J82" s="40"/>
      <c r="K82" s="239"/>
      <c r="L82" s="40"/>
      <c r="M82" s="40"/>
    </row>
    <row r="83" spans="1:13" s="53" customFormat="1" ht="15.75" hidden="1">
      <c r="A83" s="2"/>
      <c r="B83" s="239"/>
      <c r="C83" s="275" t="s">
        <v>241</v>
      </c>
      <c r="D83" s="1" t="s">
        <v>10</v>
      </c>
      <c r="E83" s="274">
        <f>7*3</f>
        <v>21</v>
      </c>
      <c r="F83" s="267">
        <f>F78*E83</f>
        <v>0</v>
      </c>
      <c r="G83" s="274"/>
      <c r="H83" s="40"/>
      <c r="I83" s="239"/>
      <c r="J83" s="40"/>
      <c r="K83" s="239"/>
      <c r="L83" s="40"/>
      <c r="M83" s="40"/>
    </row>
    <row r="84" spans="1:13" s="53" customFormat="1" ht="15.75" hidden="1">
      <c r="A84" s="237"/>
      <c r="B84" s="268"/>
      <c r="C84" s="232" t="s">
        <v>85</v>
      </c>
      <c r="D84" s="232" t="s">
        <v>10</v>
      </c>
      <c r="E84" s="273">
        <v>2</v>
      </c>
      <c r="F84" s="268">
        <f>F77*E84</f>
        <v>0</v>
      </c>
      <c r="G84" s="240"/>
      <c r="H84" s="40"/>
      <c r="I84" s="239"/>
      <c r="J84" s="40"/>
      <c r="K84" s="239"/>
      <c r="L84" s="40"/>
      <c r="M84" s="40"/>
    </row>
    <row r="85" spans="1:13" s="53" customFormat="1" ht="15.75" hidden="1">
      <c r="A85" s="237"/>
      <c r="B85" s="268"/>
      <c r="C85" s="232" t="s">
        <v>237</v>
      </c>
      <c r="D85" s="232" t="s">
        <v>81</v>
      </c>
      <c r="E85" s="273">
        <v>5</v>
      </c>
      <c r="F85" s="268">
        <f>F77*E85</f>
        <v>0</v>
      </c>
      <c r="G85" s="240"/>
      <c r="H85" s="40"/>
      <c r="I85" s="239"/>
      <c r="J85" s="40"/>
      <c r="K85" s="239"/>
      <c r="L85" s="40"/>
      <c r="M85" s="40"/>
    </row>
    <row r="86" spans="1:13" s="53" customFormat="1" ht="15.75" hidden="1">
      <c r="A86" s="2"/>
      <c r="B86" s="274"/>
      <c r="C86" s="275" t="s">
        <v>227</v>
      </c>
      <c r="D86" s="1" t="s">
        <v>226</v>
      </c>
      <c r="E86" s="274">
        <v>5.55</v>
      </c>
      <c r="F86" s="267">
        <f>F77*E86</f>
        <v>0</v>
      </c>
      <c r="G86" s="274"/>
      <c r="H86" s="40"/>
      <c r="I86" s="239"/>
      <c r="J86" s="40"/>
      <c r="K86" s="239"/>
      <c r="L86" s="40"/>
      <c r="M86" s="40"/>
    </row>
    <row r="87" spans="1:13" s="53" customFormat="1" ht="27">
      <c r="A87" s="233">
        <f>A42+1</f>
        <v>8</v>
      </c>
      <c r="B87" s="264"/>
      <c r="C87" s="234" t="s">
        <v>290</v>
      </c>
      <c r="D87" s="2" t="s">
        <v>10</v>
      </c>
      <c r="E87" s="266"/>
      <c r="F87" s="266">
        <v>4</v>
      </c>
      <c r="G87" s="238"/>
      <c r="H87" s="22"/>
      <c r="I87" s="240"/>
      <c r="J87" s="22"/>
      <c r="K87" s="240"/>
      <c r="L87" s="22"/>
      <c r="M87" s="40"/>
    </row>
    <row r="88" spans="1:13" s="53" customFormat="1" ht="15.75">
      <c r="A88" s="233"/>
      <c r="B88" s="264"/>
      <c r="C88" s="263" t="s">
        <v>12</v>
      </c>
      <c r="D88" s="9" t="str">
        <f>D87</f>
        <v>cali</v>
      </c>
      <c r="E88" s="264">
        <f>1</f>
        <v>1</v>
      </c>
      <c r="F88" s="268">
        <f>F87*E88</f>
        <v>4</v>
      </c>
      <c r="G88" s="262"/>
      <c r="H88" s="40"/>
      <c r="I88" s="239"/>
      <c r="J88" s="40"/>
      <c r="K88" s="239"/>
      <c r="L88" s="40"/>
      <c r="M88" s="40"/>
    </row>
    <row r="89" spans="1:13" s="53" customFormat="1" ht="15.75">
      <c r="A89" s="237"/>
      <c r="B89" s="268"/>
      <c r="C89" s="232" t="s">
        <v>285</v>
      </c>
      <c r="D89" s="9" t="s">
        <v>5</v>
      </c>
      <c r="E89" s="268">
        <v>1.1</v>
      </c>
      <c r="F89" s="268">
        <f>F87*E89</f>
        <v>4.4</v>
      </c>
      <c r="G89" s="240"/>
      <c r="H89" s="40"/>
      <c r="I89" s="239"/>
      <c r="J89" s="40"/>
      <c r="K89" s="239"/>
      <c r="L89" s="40"/>
      <c r="M89" s="40"/>
    </row>
    <row r="90" spans="1:13" s="53" customFormat="1" ht="15.75">
      <c r="A90" s="237"/>
      <c r="B90" s="268"/>
      <c r="C90" s="232" t="s">
        <v>287</v>
      </c>
      <c r="D90" s="9" t="s">
        <v>5</v>
      </c>
      <c r="E90" s="273">
        <f>1.2</f>
        <v>1.2</v>
      </c>
      <c r="F90" s="268">
        <f>F87*E90</f>
        <v>4.8</v>
      </c>
      <c r="G90" s="240"/>
      <c r="H90" s="40"/>
      <c r="I90" s="239"/>
      <c r="J90" s="40"/>
      <c r="K90" s="239"/>
      <c r="L90" s="40"/>
      <c r="M90" s="40"/>
    </row>
    <row r="91" spans="1:13" s="53" customFormat="1" ht="15.75">
      <c r="A91" s="237"/>
      <c r="B91" s="268"/>
      <c r="C91" s="232" t="s">
        <v>264</v>
      </c>
      <c r="D91" s="9" t="s">
        <v>249</v>
      </c>
      <c r="E91" s="268">
        <f>0.72</f>
        <v>0.72</v>
      </c>
      <c r="F91" s="268">
        <f>F88*E91</f>
        <v>2.88</v>
      </c>
      <c r="G91" s="240"/>
      <c r="H91" s="40"/>
      <c r="I91" s="239"/>
      <c r="J91" s="40"/>
      <c r="K91" s="239"/>
      <c r="L91" s="40"/>
      <c r="M91" s="40"/>
    </row>
    <row r="92" spans="1:13" s="53" customFormat="1" ht="15.75">
      <c r="A92" s="237"/>
      <c r="B92" s="268"/>
      <c r="C92" s="232" t="s">
        <v>265</v>
      </c>
      <c r="D92" s="9" t="s">
        <v>5</v>
      </c>
      <c r="E92" s="273">
        <v>2.6</v>
      </c>
      <c r="F92" s="268">
        <f>F90*E92</f>
        <v>12.48</v>
      </c>
      <c r="G92" s="240"/>
      <c r="H92" s="40"/>
      <c r="I92" s="239"/>
      <c r="J92" s="40"/>
      <c r="K92" s="239"/>
      <c r="L92" s="40"/>
      <c r="M92" s="40"/>
    </row>
    <row r="93" spans="1:13" s="53" customFormat="1" ht="15.75">
      <c r="A93" s="237"/>
      <c r="B93" s="268"/>
      <c r="C93" s="232" t="s">
        <v>288</v>
      </c>
      <c r="D93" s="9" t="s">
        <v>5</v>
      </c>
      <c r="E93" s="273">
        <v>0.6</v>
      </c>
      <c r="F93" s="268">
        <f>F88*E93</f>
        <v>2.4</v>
      </c>
      <c r="G93" s="240"/>
      <c r="H93" s="40"/>
      <c r="I93" s="239"/>
      <c r="J93" s="40"/>
      <c r="K93" s="239"/>
      <c r="L93" s="40"/>
      <c r="M93" s="40"/>
    </row>
    <row r="94" spans="1:13" s="53" customFormat="1" ht="15.75">
      <c r="A94" s="263"/>
      <c r="B94" s="264"/>
      <c r="C94" s="232" t="s">
        <v>231</v>
      </c>
      <c r="D94" s="2" t="s">
        <v>248</v>
      </c>
      <c r="E94" s="264">
        <f>0.25*0.2*0.2</f>
        <v>0.010000000000000002</v>
      </c>
      <c r="F94" s="267">
        <f>E94*F87</f>
        <v>0.04000000000000001</v>
      </c>
      <c r="G94" s="239"/>
      <c r="H94" s="40"/>
      <c r="I94" s="239"/>
      <c r="J94" s="40"/>
      <c r="K94" s="239"/>
      <c r="L94" s="40"/>
      <c r="M94" s="40"/>
    </row>
    <row r="95" spans="1:13" s="53" customFormat="1" ht="15.75">
      <c r="A95" s="2"/>
      <c r="B95" s="239"/>
      <c r="C95" s="275" t="s">
        <v>266</v>
      </c>
      <c r="D95" s="1" t="s">
        <v>248</v>
      </c>
      <c r="E95" s="274">
        <f>14*0.04*0.02</f>
        <v>0.011200000000000002</v>
      </c>
      <c r="F95" s="267">
        <f>F90*E95</f>
        <v>0.05376000000000001</v>
      </c>
      <c r="G95" s="274"/>
      <c r="H95" s="40"/>
      <c r="I95" s="239"/>
      <c r="J95" s="40"/>
      <c r="K95" s="239"/>
      <c r="L95" s="40"/>
      <c r="M95" s="40"/>
    </row>
    <row r="96" spans="1:13" s="53" customFormat="1" ht="15.75">
      <c r="A96" s="237"/>
      <c r="B96" s="268"/>
      <c r="C96" s="232" t="s">
        <v>85</v>
      </c>
      <c r="D96" s="232" t="s">
        <v>10</v>
      </c>
      <c r="E96" s="273">
        <v>1</v>
      </c>
      <c r="F96" s="268">
        <f>F87*E96</f>
        <v>4</v>
      </c>
      <c r="G96" s="240"/>
      <c r="H96" s="40"/>
      <c r="I96" s="239"/>
      <c r="J96" s="40"/>
      <c r="K96" s="239"/>
      <c r="L96" s="40"/>
      <c r="M96" s="40"/>
    </row>
    <row r="97" spans="1:13" s="53" customFormat="1" ht="15.75">
      <c r="A97" s="237"/>
      <c r="B97" s="268"/>
      <c r="C97" s="232" t="s">
        <v>237</v>
      </c>
      <c r="D97" s="232" t="s">
        <v>81</v>
      </c>
      <c r="E97" s="273">
        <v>1.5</v>
      </c>
      <c r="F97" s="268">
        <f>F87*E97</f>
        <v>6</v>
      </c>
      <c r="G97" s="240"/>
      <c r="H97" s="40"/>
      <c r="I97" s="239"/>
      <c r="J97" s="40"/>
      <c r="K97" s="239"/>
      <c r="L97" s="40"/>
      <c r="M97" s="40"/>
    </row>
    <row r="98" spans="1:13" s="53" customFormat="1" ht="15.75">
      <c r="A98" s="2"/>
      <c r="B98" s="274"/>
      <c r="C98" s="275" t="s">
        <v>227</v>
      </c>
      <c r="D98" s="1" t="s">
        <v>226</v>
      </c>
      <c r="E98" s="274">
        <v>1.25</v>
      </c>
      <c r="F98" s="267">
        <f>F87*E98</f>
        <v>5</v>
      </c>
      <c r="G98" s="274"/>
      <c r="H98" s="40"/>
      <c r="I98" s="239"/>
      <c r="J98" s="40"/>
      <c r="K98" s="239"/>
      <c r="L98" s="40"/>
      <c r="M98" s="40"/>
    </row>
    <row r="99" spans="1:13" s="53" customFormat="1" ht="40.5">
      <c r="A99" s="233">
        <f>A87+1</f>
        <v>9</v>
      </c>
      <c r="B99" s="268"/>
      <c r="C99" s="237" t="s">
        <v>250</v>
      </c>
      <c r="D99" s="2" t="s">
        <v>10</v>
      </c>
      <c r="E99" s="268"/>
      <c r="F99" s="266">
        <v>4</v>
      </c>
      <c r="G99" s="238"/>
      <c r="H99" s="22"/>
      <c r="I99" s="240"/>
      <c r="J99" s="22"/>
      <c r="K99" s="240"/>
      <c r="L99" s="22"/>
      <c r="M99" s="40"/>
    </row>
    <row r="100" spans="1:13" s="53" customFormat="1" ht="15.75">
      <c r="A100" s="269"/>
      <c r="B100" s="240"/>
      <c r="C100" s="10" t="s">
        <v>12</v>
      </c>
      <c r="D100" s="2" t="str">
        <f>D99</f>
        <v>cali</v>
      </c>
      <c r="E100" s="240">
        <v>1</v>
      </c>
      <c r="F100" s="268">
        <f>F99*E100</f>
        <v>4</v>
      </c>
      <c r="G100" s="262"/>
      <c r="H100" s="40"/>
      <c r="I100" s="239"/>
      <c r="J100" s="40"/>
      <c r="K100" s="239"/>
      <c r="L100" s="40"/>
      <c r="M100" s="40"/>
    </row>
    <row r="101" spans="1:13" s="53" customFormat="1" ht="15.75">
      <c r="A101" s="269"/>
      <c r="B101" s="240"/>
      <c r="C101" s="10" t="s">
        <v>278</v>
      </c>
      <c r="D101" s="10" t="str">
        <f>D99</f>
        <v>cali</v>
      </c>
      <c r="E101" s="240">
        <v>1</v>
      </c>
      <c r="F101" s="268">
        <f>E101*F99</f>
        <v>4</v>
      </c>
      <c r="G101" s="244"/>
      <c r="H101" s="40"/>
      <c r="I101" s="239"/>
      <c r="J101" s="40"/>
      <c r="K101" s="239"/>
      <c r="L101" s="40"/>
      <c r="M101" s="40"/>
    </row>
    <row r="102" spans="1:13" s="53" customFormat="1" ht="15.75">
      <c r="A102" s="263"/>
      <c r="B102" s="264"/>
      <c r="C102" s="232" t="s">
        <v>231</v>
      </c>
      <c r="D102" s="2" t="s">
        <v>248</v>
      </c>
      <c r="E102" s="264">
        <f>0.25*0.4*0.2</f>
        <v>0.020000000000000004</v>
      </c>
      <c r="F102" s="267">
        <f>E102*F99</f>
        <v>0.08000000000000002</v>
      </c>
      <c r="G102" s="239"/>
      <c r="H102" s="40"/>
      <c r="I102" s="239"/>
      <c r="J102" s="40"/>
      <c r="K102" s="239"/>
      <c r="L102" s="40"/>
      <c r="M102" s="40"/>
    </row>
    <row r="103" spans="1:13" s="53" customFormat="1" ht="27">
      <c r="A103" s="233">
        <f>A99+1</f>
        <v>10</v>
      </c>
      <c r="B103" s="268"/>
      <c r="C103" s="232" t="s">
        <v>303</v>
      </c>
      <c r="D103" s="10" t="s">
        <v>240</v>
      </c>
      <c r="E103" s="268"/>
      <c r="F103" s="266">
        <v>1</v>
      </c>
      <c r="G103" s="238"/>
      <c r="H103" s="22"/>
      <c r="I103" s="240"/>
      <c r="J103" s="22"/>
      <c r="K103" s="240"/>
      <c r="L103" s="22"/>
      <c r="M103" s="40"/>
    </row>
    <row r="104" spans="1:13" s="53" customFormat="1" ht="15.75">
      <c r="A104" s="269"/>
      <c r="B104" s="240"/>
      <c r="C104" s="10" t="s">
        <v>12</v>
      </c>
      <c r="D104" s="2" t="str">
        <f>D103</f>
        <v>kompl.</v>
      </c>
      <c r="E104" s="240">
        <v>1</v>
      </c>
      <c r="F104" s="268">
        <f>F103*E104</f>
        <v>1</v>
      </c>
      <c r="G104" s="262"/>
      <c r="H104" s="40"/>
      <c r="I104" s="239"/>
      <c r="J104" s="40"/>
      <c r="K104" s="239"/>
      <c r="L104" s="40"/>
      <c r="M104" s="40"/>
    </row>
    <row r="105" spans="1:13" s="53" customFormat="1" ht="15.75">
      <c r="A105" s="269"/>
      <c r="B105" s="239"/>
      <c r="C105" s="10" t="s">
        <v>275</v>
      </c>
      <c r="D105" s="10" t="s">
        <v>240</v>
      </c>
      <c r="E105" s="240">
        <v>1</v>
      </c>
      <c r="F105" s="268">
        <f>E105*F103</f>
        <v>1</v>
      </c>
      <c r="G105" s="240"/>
      <c r="H105" s="40"/>
      <c r="I105" s="239"/>
      <c r="J105" s="40"/>
      <c r="K105" s="239"/>
      <c r="L105" s="40"/>
      <c r="M105" s="40"/>
    </row>
    <row r="106" spans="1:13" s="53" customFormat="1" ht="15.75">
      <c r="A106" s="2"/>
      <c r="B106" s="274"/>
      <c r="C106" s="275" t="s">
        <v>227</v>
      </c>
      <c r="D106" s="1" t="s">
        <v>226</v>
      </c>
      <c r="E106" s="274">
        <v>12.5</v>
      </c>
      <c r="F106" s="267">
        <f>E106*F103</f>
        <v>12.5</v>
      </c>
      <c r="G106" s="274"/>
      <c r="H106" s="40"/>
      <c r="I106" s="239"/>
      <c r="J106" s="40"/>
      <c r="K106" s="239"/>
      <c r="L106" s="40"/>
      <c r="M106" s="40"/>
    </row>
    <row r="107" spans="1:13" s="53" customFormat="1" ht="27">
      <c r="A107" s="233">
        <f>A103+1</f>
        <v>11</v>
      </c>
      <c r="B107" s="268"/>
      <c r="C107" s="232" t="s">
        <v>304</v>
      </c>
      <c r="D107" s="10" t="s">
        <v>240</v>
      </c>
      <c r="E107" s="268"/>
      <c r="F107" s="266">
        <v>1</v>
      </c>
      <c r="G107" s="238"/>
      <c r="H107" s="22"/>
      <c r="I107" s="240"/>
      <c r="J107" s="22"/>
      <c r="K107" s="240"/>
      <c r="L107" s="22"/>
      <c r="M107" s="40"/>
    </row>
    <row r="108" spans="1:13" s="53" customFormat="1" ht="15.75">
      <c r="A108" s="269"/>
      <c r="B108" s="240"/>
      <c r="C108" s="10" t="s">
        <v>12</v>
      </c>
      <c r="D108" s="2" t="s">
        <v>226</v>
      </c>
      <c r="E108" s="240">
        <v>1</v>
      </c>
      <c r="F108" s="268">
        <f>F107*E108</f>
        <v>1</v>
      </c>
      <c r="G108" s="262"/>
      <c r="H108" s="40"/>
      <c r="I108" s="239"/>
      <c r="J108" s="40"/>
      <c r="K108" s="239"/>
      <c r="L108" s="40"/>
      <c r="M108" s="40"/>
    </row>
    <row r="109" spans="1:13" s="53" customFormat="1" ht="15.75">
      <c r="A109" s="269"/>
      <c r="B109" s="239"/>
      <c r="C109" s="10" t="s">
        <v>305</v>
      </c>
      <c r="D109" s="10" t="s">
        <v>240</v>
      </c>
      <c r="E109" s="240">
        <v>1</v>
      </c>
      <c r="F109" s="268">
        <f>E109*F107</f>
        <v>1</v>
      </c>
      <c r="G109" s="240"/>
      <c r="H109" s="40"/>
      <c r="I109" s="239"/>
      <c r="J109" s="40"/>
      <c r="K109" s="239"/>
      <c r="L109" s="40"/>
      <c r="M109" s="40"/>
    </row>
    <row r="110" spans="1:13" s="53" customFormat="1" ht="15.75">
      <c r="A110" s="2"/>
      <c r="B110" s="274"/>
      <c r="C110" s="275" t="s">
        <v>227</v>
      </c>
      <c r="D110" s="1" t="s">
        <v>226</v>
      </c>
      <c r="E110" s="274">
        <v>1.25</v>
      </c>
      <c r="F110" s="267">
        <f>E110*F107</f>
        <v>1.25</v>
      </c>
      <c r="G110" s="274"/>
      <c r="H110" s="40"/>
      <c r="I110" s="239"/>
      <c r="J110" s="40"/>
      <c r="K110" s="239"/>
      <c r="L110" s="40"/>
      <c r="M110" s="40"/>
    </row>
    <row r="111" spans="1:13" s="53" customFormat="1" ht="27">
      <c r="A111" s="233">
        <f>A107+1</f>
        <v>12</v>
      </c>
      <c r="B111" s="268"/>
      <c r="C111" s="232" t="s">
        <v>276</v>
      </c>
      <c r="D111" s="10" t="s">
        <v>240</v>
      </c>
      <c r="E111" s="268"/>
      <c r="F111" s="266">
        <v>1</v>
      </c>
      <c r="G111" s="238"/>
      <c r="H111" s="22"/>
      <c r="I111" s="240"/>
      <c r="J111" s="22"/>
      <c r="K111" s="240"/>
      <c r="L111" s="22"/>
      <c r="M111" s="40"/>
    </row>
    <row r="112" spans="1:13" s="53" customFormat="1" ht="15.75">
      <c r="A112" s="269"/>
      <c r="B112" s="240"/>
      <c r="C112" s="10" t="s">
        <v>12</v>
      </c>
      <c r="D112" s="2" t="str">
        <f>D111</f>
        <v>kompl.</v>
      </c>
      <c r="E112" s="240">
        <v>1</v>
      </c>
      <c r="F112" s="268">
        <f>F111*E112</f>
        <v>1</v>
      </c>
      <c r="G112" s="262"/>
      <c r="H112" s="40"/>
      <c r="I112" s="239"/>
      <c r="J112" s="40"/>
      <c r="K112" s="239"/>
      <c r="L112" s="40"/>
      <c r="M112" s="40"/>
    </row>
    <row r="113" spans="1:13" s="53" customFormat="1" ht="15.75">
      <c r="A113" s="269"/>
      <c r="B113" s="239"/>
      <c r="C113" s="10" t="s">
        <v>277</v>
      </c>
      <c r="D113" s="10" t="s">
        <v>240</v>
      </c>
      <c r="E113" s="240">
        <v>1</v>
      </c>
      <c r="F113" s="268">
        <f>E113*F111</f>
        <v>1</v>
      </c>
      <c r="G113" s="240"/>
      <c r="H113" s="40"/>
      <c r="I113" s="239"/>
      <c r="J113" s="40"/>
      <c r="K113" s="239"/>
      <c r="L113" s="40"/>
      <c r="M113" s="40"/>
    </row>
    <row r="114" spans="1:13" s="53" customFormat="1" ht="15.75">
      <c r="A114" s="2"/>
      <c r="B114" s="274"/>
      <c r="C114" s="275" t="s">
        <v>227</v>
      </c>
      <c r="D114" s="1" t="s">
        <v>226</v>
      </c>
      <c r="E114" s="274">
        <v>1.25</v>
      </c>
      <c r="F114" s="267">
        <f>E114*F111</f>
        <v>1.25</v>
      </c>
      <c r="G114" s="274"/>
      <c r="H114" s="40"/>
      <c r="I114" s="239"/>
      <c r="J114" s="40"/>
      <c r="K114" s="239"/>
      <c r="L114" s="40"/>
      <c r="M114" s="40"/>
    </row>
    <row r="115" spans="1:13" s="53" customFormat="1" ht="30" customHeight="1">
      <c r="A115" s="233">
        <f>A111+1</f>
        <v>13</v>
      </c>
      <c r="B115" s="268"/>
      <c r="C115" s="232" t="s">
        <v>307</v>
      </c>
      <c r="D115" s="2" t="s">
        <v>5</v>
      </c>
      <c r="E115" s="268"/>
      <c r="F115" s="266">
        <f>(18+7)*2-2</f>
        <v>48</v>
      </c>
      <c r="G115" s="238"/>
      <c r="H115" s="22"/>
      <c r="I115" s="240"/>
      <c r="J115" s="22"/>
      <c r="K115" s="240"/>
      <c r="L115" s="22"/>
      <c r="M115" s="40"/>
    </row>
    <row r="116" spans="1:13" s="53" customFormat="1" ht="15.75">
      <c r="A116" s="269"/>
      <c r="B116" s="240"/>
      <c r="C116" s="10" t="s">
        <v>12</v>
      </c>
      <c r="D116" s="2" t="str">
        <f>D115</f>
        <v>grZ.m.</v>
      </c>
      <c r="E116" s="240">
        <v>1</v>
      </c>
      <c r="F116" s="268">
        <f>F115*E116</f>
        <v>48</v>
      </c>
      <c r="G116" s="262"/>
      <c r="H116" s="40"/>
      <c r="I116" s="239"/>
      <c r="J116" s="40"/>
      <c r="K116" s="239"/>
      <c r="L116" s="40"/>
      <c r="M116" s="40"/>
    </row>
    <row r="117" spans="1:13" s="53" customFormat="1" ht="15.75">
      <c r="A117" s="237"/>
      <c r="B117" s="268"/>
      <c r="C117" s="232" t="s">
        <v>285</v>
      </c>
      <c r="D117" s="9" t="s">
        <v>5</v>
      </c>
      <c r="E117" s="268">
        <f>1.8/2</f>
        <v>0.9</v>
      </c>
      <c r="F117" s="268">
        <f>F115*E117</f>
        <v>43.2</v>
      </c>
      <c r="G117" s="240"/>
      <c r="H117" s="40"/>
      <c r="I117" s="239"/>
      <c r="J117" s="40"/>
      <c r="K117" s="239"/>
      <c r="L117" s="40"/>
      <c r="M117" s="40"/>
    </row>
    <row r="118" spans="1:13" s="53" customFormat="1" ht="15.75">
      <c r="A118" s="237"/>
      <c r="B118" s="268"/>
      <c r="C118" s="232" t="s">
        <v>287</v>
      </c>
      <c r="D118" s="9" t="s">
        <v>5</v>
      </c>
      <c r="E118" s="273">
        <f>10.8/2</f>
        <v>5.4</v>
      </c>
      <c r="F118" s="268">
        <f>F115*E118</f>
        <v>259.20000000000005</v>
      </c>
      <c r="G118" s="240"/>
      <c r="H118" s="40"/>
      <c r="I118" s="239"/>
      <c r="J118" s="40"/>
      <c r="K118" s="239"/>
      <c r="L118" s="40"/>
      <c r="M118" s="40"/>
    </row>
    <row r="119" spans="1:13" s="53" customFormat="1" ht="15.75">
      <c r="A119" s="237"/>
      <c r="B119" s="268"/>
      <c r="C119" s="232" t="s">
        <v>242</v>
      </c>
      <c r="D119" s="9" t="s">
        <v>249</v>
      </c>
      <c r="E119" s="278">
        <f>0.05*0.05</f>
        <v>0.0025000000000000005</v>
      </c>
      <c r="F119" s="268">
        <f>E119*F115</f>
        <v>0.12000000000000002</v>
      </c>
      <c r="G119" s="240"/>
      <c r="H119" s="40"/>
      <c r="I119" s="239"/>
      <c r="J119" s="40"/>
      <c r="K119" s="239"/>
      <c r="L119" s="40"/>
      <c r="M119" s="40"/>
    </row>
    <row r="120" spans="1:13" s="53" customFormat="1" ht="15.75">
      <c r="A120" s="237"/>
      <c r="B120" s="268"/>
      <c r="C120" s="232" t="s">
        <v>288</v>
      </c>
      <c r="D120" s="9" t="s">
        <v>5</v>
      </c>
      <c r="E120" s="273">
        <v>0.6</v>
      </c>
      <c r="F120" s="268">
        <f>F116*E120</f>
        <v>28.799999999999997</v>
      </c>
      <c r="G120" s="240"/>
      <c r="H120" s="40"/>
      <c r="I120" s="239"/>
      <c r="J120" s="40"/>
      <c r="K120" s="239"/>
      <c r="L120" s="40"/>
      <c r="M120" s="40"/>
    </row>
    <row r="121" spans="1:13" s="53" customFormat="1" ht="15.75">
      <c r="A121" s="263"/>
      <c r="B121" s="264"/>
      <c r="C121" s="232" t="s">
        <v>231</v>
      </c>
      <c r="D121" s="2" t="s">
        <v>248</v>
      </c>
      <c r="E121" s="264">
        <f>0.07</f>
        <v>0.07</v>
      </c>
      <c r="F121" s="267">
        <f>E121*F115</f>
        <v>3.3600000000000003</v>
      </c>
      <c r="G121" s="239"/>
      <c r="H121" s="40"/>
      <c r="I121" s="239"/>
      <c r="J121" s="40"/>
      <c r="K121" s="239"/>
      <c r="L121" s="40"/>
      <c r="M121" s="40"/>
    </row>
    <row r="122" spans="1:13" s="53" customFormat="1" ht="15.75">
      <c r="A122" s="237"/>
      <c r="B122" s="268"/>
      <c r="C122" s="232" t="s">
        <v>85</v>
      </c>
      <c r="D122" s="232" t="s">
        <v>10</v>
      </c>
      <c r="E122" s="273">
        <f>1/2</f>
        <v>0.5</v>
      </c>
      <c r="F122" s="268">
        <f>E122*F115</f>
        <v>24</v>
      </c>
      <c r="G122" s="240"/>
      <c r="H122" s="40"/>
      <c r="I122" s="239"/>
      <c r="J122" s="40"/>
      <c r="K122" s="239"/>
      <c r="L122" s="40"/>
      <c r="M122" s="40"/>
    </row>
    <row r="123" spans="1:13" s="53" customFormat="1" ht="15.75">
      <c r="A123" s="237"/>
      <c r="B123" s="268"/>
      <c r="C123" s="232" t="s">
        <v>237</v>
      </c>
      <c r="D123" s="232" t="s">
        <v>81</v>
      </c>
      <c r="E123" s="273">
        <v>0.5</v>
      </c>
      <c r="F123" s="268">
        <f>E123*F115</f>
        <v>24</v>
      </c>
      <c r="G123" s="240"/>
      <c r="H123" s="40"/>
      <c r="I123" s="239"/>
      <c r="J123" s="40"/>
      <c r="K123" s="239"/>
      <c r="L123" s="40"/>
      <c r="M123" s="40"/>
    </row>
    <row r="124" spans="1:13" s="53" customFormat="1" ht="15.75">
      <c r="A124" s="2"/>
      <c r="B124" s="274"/>
      <c r="C124" s="275" t="s">
        <v>227</v>
      </c>
      <c r="D124" s="1" t="s">
        <v>226</v>
      </c>
      <c r="E124" s="274">
        <f>1.25/2</f>
        <v>0.625</v>
      </c>
      <c r="F124" s="267">
        <f>E124*F115</f>
        <v>30</v>
      </c>
      <c r="G124" s="274"/>
      <c r="H124" s="40"/>
      <c r="I124" s="239"/>
      <c r="J124" s="40"/>
      <c r="K124" s="239"/>
      <c r="L124" s="40"/>
      <c r="M124" s="40"/>
    </row>
    <row r="125" spans="1:13" s="53" customFormat="1" ht="40.5" hidden="1">
      <c r="A125" s="233">
        <f>A115+1</f>
        <v>14</v>
      </c>
      <c r="B125" s="268"/>
      <c r="C125" s="232" t="s">
        <v>284</v>
      </c>
      <c r="D125" s="2" t="s">
        <v>5</v>
      </c>
      <c r="E125" s="268"/>
      <c r="F125" s="266">
        <v>0</v>
      </c>
      <c r="G125" s="238"/>
      <c r="H125" s="22"/>
      <c r="I125" s="240"/>
      <c r="J125" s="22"/>
      <c r="K125" s="240"/>
      <c r="L125" s="22"/>
      <c r="M125" s="40"/>
    </row>
    <row r="126" spans="1:13" s="53" customFormat="1" ht="15.75" hidden="1">
      <c r="A126" s="269"/>
      <c r="B126" s="240"/>
      <c r="C126" s="10" t="s">
        <v>12</v>
      </c>
      <c r="D126" s="2" t="str">
        <f>D125</f>
        <v>grZ.m.</v>
      </c>
      <c r="E126" s="240">
        <v>1</v>
      </c>
      <c r="F126" s="268">
        <f>F125*E126</f>
        <v>0</v>
      </c>
      <c r="G126" s="262"/>
      <c r="H126" s="40"/>
      <c r="I126" s="239"/>
      <c r="J126" s="40"/>
      <c r="K126" s="239"/>
      <c r="L126" s="40"/>
      <c r="M126" s="40"/>
    </row>
    <row r="127" spans="1:13" s="53" customFormat="1" ht="15.75" hidden="1">
      <c r="A127" s="237"/>
      <c r="B127" s="268"/>
      <c r="C127" s="232" t="s">
        <v>285</v>
      </c>
      <c r="D127" s="9" t="s">
        <v>5</v>
      </c>
      <c r="E127" s="268">
        <f>2.04/2</f>
        <v>1.02</v>
      </c>
      <c r="F127" s="268">
        <f>F125*E127</f>
        <v>0</v>
      </c>
      <c r="G127" s="240"/>
      <c r="H127" s="40"/>
      <c r="I127" s="239"/>
      <c r="J127" s="40"/>
      <c r="K127" s="239"/>
      <c r="L127" s="40"/>
      <c r="M127" s="40"/>
    </row>
    <row r="128" spans="1:13" s="53" customFormat="1" ht="15.75" hidden="1">
      <c r="A128" s="237"/>
      <c r="B128" s="268"/>
      <c r="C128" s="232" t="s">
        <v>287</v>
      </c>
      <c r="D128" s="9" t="s">
        <v>5</v>
      </c>
      <c r="E128" s="273">
        <f>10.8/2</f>
        <v>5.4</v>
      </c>
      <c r="F128" s="268">
        <f>F125*E128</f>
        <v>0</v>
      </c>
      <c r="G128" s="240"/>
      <c r="H128" s="40"/>
      <c r="I128" s="239"/>
      <c r="J128" s="40"/>
      <c r="K128" s="239"/>
      <c r="L128" s="40"/>
      <c r="M128" s="40"/>
    </row>
    <row r="129" spans="1:13" s="53" customFormat="1" ht="15.75" hidden="1">
      <c r="A129" s="237"/>
      <c r="B129" s="268"/>
      <c r="C129" s="232" t="s">
        <v>242</v>
      </c>
      <c r="D129" s="9" t="s">
        <v>249</v>
      </c>
      <c r="E129" s="278">
        <f>0.05*0.05</f>
        <v>0.0025000000000000005</v>
      </c>
      <c r="F129" s="268">
        <f>E129*F125</f>
        <v>0</v>
      </c>
      <c r="G129" s="240"/>
      <c r="H129" s="40"/>
      <c r="I129" s="239"/>
      <c r="J129" s="40"/>
      <c r="K129" s="239"/>
      <c r="L129" s="40"/>
      <c r="M129" s="40"/>
    </row>
    <row r="130" spans="1:13" s="53" customFormat="1" ht="15.75" hidden="1">
      <c r="A130" s="237"/>
      <c r="B130" s="268"/>
      <c r="C130" s="232" t="s">
        <v>288</v>
      </c>
      <c r="D130" s="9" t="s">
        <v>5</v>
      </c>
      <c r="E130" s="273">
        <v>0.6</v>
      </c>
      <c r="F130" s="268">
        <f>F126*E130</f>
        <v>0</v>
      </c>
      <c r="G130" s="240"/>
      <c r="H130" s="40"/>
      <c r="I130" s="239"/>
      <c r="J130" s="40"/>
      <c r="K130" s="239"/>
      <c r="L130" s="40"/>
      <c r="M130" s="40"/>
    </row>
    <row r="131" spans="1:13" s="53" customFormat="1" ht="15.75" hidden="1">
      <c r="A131" s="263"/>
      <c r="B131" s="264"/>
      <c r="C131" s="232" t="s">
        <v>231</v>
      </c>
      <c r="D131" s="2" t="s">
        <v>248</v>
      </c>
      <c r="E131" s="264">
        <f>0.15/2</f>
        <v>0.075</v>
      </c>
      <c r="F131" s="267">
        <f>E131*F125</f>
        <v>0</v>
      </c>
      <c r="G131" s="239"/>
      <c r="H131" s="40"/>
      <c r="I131" s="239"/>
      <c r="J131" s="40"/>
      <c r="K131" s="239"/>
      <c r="L131" s="40"/>
      <c r="M131" s="40"/>
    </row>
    <row r="132" spans="1:13" s="53" customFormat="1" ht="15.75" hidden="1">
      <c r="A132" s="237"/>
      <c r="B132" s="268"/>
      <c r="C132" s="232" t="s">
        <v>85</v>
      </c>
      <c r="D132" s="232" t="s">
        <v>10</v>
      </c>
      <c r="E132" s="273">
        <f>1/2</f>
        <v>0.5</v>
      </c>
      <c r="F132" s="268">
        <f>E132*F125</f>
        <v>0</v>
      </c>
      <c r="G132" s="240"/>
      <c r="H132" s="40"/>
      <c r="I132" s="239"/>
      <c r="J132" s="40"/>
      <c r="K132" s="239"/>
      <c r="L132" s="40"/>
      <c r="M132" s="40"/>
    </row>
    <row r="133" spans="1:13" s="53" customFormat="1" ht="15.75" hidden="1">
      <c r="A133" s="237"/>
      <c r="B133" s="268"/>
      <c r="C133" s="232" t="s">
        <v>237</v>
      </c>
      <c r="D133" s="232" t="s">
        <v>81</v>
      </c>
      <c r="E133" s="273">
        <v>0.5</v>
      </c>
      <c r="F133" s="268">
        <f>E133*F125</f>
        <v>0</v>
      </c>
      <c r="G133" s="240"/>
      <c r="H133" s="40"/>
      <c r="I133" s="239"/>
      <c r="J133" s="40"/>
      <c r="K133" s="239"/>
      <c r="L133" s="40"/>
      <c r="M133" s="40"/>
    </row>
    <row r="134" spans="1:13" s="53" customFormat="1" ht="15.75" hidden="1">
      <c r="A134" s="2"/>
      <c r="B134" s="274"/>
      <c r="C134" s="275" t="s">
        <v>227</v>
      </c>
      <c r="D134" s="1" t="s">
        <v>226</v>
      </c>
      <c r="E134" s="274">
        <f>1.25/2</f>
        <v>0.625</v>
      </c>
      <c r="F134" s="267">
        <f>E134*F125</f>
        <v>0</v>
      </c>
      <c r="G134" s="274"/>
      <c r="H134" s="40"/>
      <c r="I134" s="239"/>
      <c r="J134" s="40"/>
      <c r="K134" s="239"/>
      <c r="L134" s="40"/>
      <c r="M134" s="40"/>
    </row>
    <row r="135" spans="1:13" s="16" customFormat="1" ht="21" customHeight="1" hidden="1">
      <c r="A135" s="233"/>
      <c r="B135" s="264"/>
      <c r="C135" s="234" t="s">
        <v>269</v>
      </c>
      <c r="D135" s="1" t="s">
        <v>10</v>
      </c>
      <c r="E135" s="266"/>
      <c r="F135" s="266">
        <v>0</v>
      </c>
      <c r="G135" s="238"/>
      <c r="H135" s="36"/>
      <c r="I135" s="246"/>
      <c r="J135" s="49"/>
      <c r="K135" s="246"/>
      <c r="L135" s="49"/>
      <c r="M135" s="22"/>
    </row>
    <row r="136" spans="1:13" s="19" customFormat="1" ht="15.75" hidden="1">
      <c r="A136" s="269"/>
      <c r="B136" s="268"/>
      <c r="C136" s="232" t="s">
        <v>12</v>
      </c>
      <c r="D136" s="2" t="str">
        <f>D135</f>
        <v>cali</v>
      </c>
      <c r="E136" s="268">
        <v>1</v>
      </c>
      <c r="F136" s="268">
        <f>F135*E136</f>
        <v>0</v>
      </c>
      <c r="G136" s="262"/>
      <c r="H136" s="22"/>
      <c r="I136" s="265"/>
      <c r="J136" s="40"/>
      <c r="K136" s="239"/>
      <c r="L136" s="40"/>
      <c r="M136" s="22"/>
    </row>
    <row r="137" spans="1:13" s="53" customFormat="1" ht="15.75" hidden="1">
      <c r="A137" s="237"/>
      <c r="B137" s="268"/>
      <c r="C137" s="232" t="s">
        <v>291</v>
      </c>
      <c r="D137" s="9" t="s">
        <v>5</v>
      </c>
      <c r="E137" s="268">
        <v>3</v>
      </c>
      <c r="F137" s="268">
        <f>F135*E137</f>
        <v>0</v>
      </c>
      <c r="G137" s="240"/>
      <c r="H137" s="40"/>
      <c r="I137" s="239"/>
      <c r="J137" s="40"/>
      <c r="K137" s="239"/>
      <c r="L137" s="40"/>
      <c r="M137" s="40"/>
    </row>
    <row r="138" spans="1:13" s="53" customFormat="1" ht="15.75" hidden="1">
      <c r="A138" s="237"/>
      <c r="B138" s="268"/>
      <c r="C138" s="232" t="s">
        <v>292</v>
      </c>
      <c r="D138" s="9" t="s">
        <v>5</v>
      </c>
      <c r="E138" s="268">
        <v>1.2</v>
      </c>
      <c r="F138" s="268">
        <f>F135*E138</f>
        <v>0</v>
      </c>
      <c r="G138" s="240"/>
      <c r="H138" s="40"/>
      <c r="I138" s="239"/>
      <c r="J138" s="40"/>
      <c r="K138" s="239"/>
      <c r="L138" s="40"/>
      <c r="M138" s="40"/>
    </row>
    <row r="139" spans="1:13" s="53" customFormat="1" ht="15.75" hidden="1">
      <c r="A139" s="237"/>
      <c r="B139" s="268"/>
      <c r="C139" s="232" t="s">
        <v>285</v>
      </c>
      <c r="D139" s="9" t="s">
        <v>5</v>
      </c>
      <c r="E139" s="268">
        <v>5.25</v>
      </c>
      <c r="F139" s="268">
        <f>F135*E139</f>
        <v>0</v>
      </c>
      <c r="G139" s="240"/>
      <c r="H139" s="40"/>
      <c r="I139" s="239"/>
      <c r="J139" s="40"/>
      <c r="K139" s="239"/>
      <c r="L139" s="40"/>
      <c r="M139" s="40"/>
    </row>
    <row r="140" spans="1:13" s="53" customFormat="1" ht="15.75" hidden="1">
      <c r="A140" s="237"/>
      <c r="B140" s="268"/>
      <c r="C140" s="232" t="s">
        <v>242</v>
      </c>
      <c r="D140" s="9" t="s">
        <v>249</v>
      </c>
      <c r="E140" s="268">
        <f>0.3*0.3*(6+1)</f>
        <v>0.63</v>
      </c>
      <c r="F140" s="268">
        <f>E140*F135</f>
        <v>0</v>
      </c>
      <c r="G140" s="240"/>
      <c r="H140" s="40"/>
      <c r="I140" s="239"/>
      <c r="J140" s="40"/>
      <c r="K140" s="239"/>
      <c r="L140" s="40"/>
      <c r="M140" s="40"/>
    </row>
    <row r="141" spans="1:13" s="53" customFormat="1" ht="15.75" hidden="1">
      <c r="A141" s="237"/>
      <c r="B141" s="268"/>
      <c r="C141" s="232" t="s">
        <v>288</v>
      </c>
      <c r="D141" s="9" t="s">
        <v>5</v>
      </c>
      <c r="E141" s="273">
        <v>3.6</v>
      </c>
      <c r="F141" s="268">
        <f>F135*E141</f>
        <v>0</v>
      </c>
      <c r="G141" s="240"/>
      <c r="H141" s="40"/>
      <c r="I141" s="239"/>
      <c r="J141" s="40"/>
      <c r="K141" s="239"/>
      <c r="L141" s="40"/>
      <c r="M141" s="40"/>
    </row>
    <row r="142" spans="1:13" s="53" customFormat="1" ht="15.75" hidden="1">
      <c r="A142" s="263"/>
      <c r="B142" s="264"/>
      <c r="C142" s="232" t="s">
        <v>231</v>
      </c>
      <c r="D142" s="2" t="s">
        <v>248</v>
      </c>
      <c r="E142" s="264">
        <v>0.5</v>
      </c>
      <c r="F142" s="267">
        <f>E142*F135</f>
        <v>0</v>
      </c>
      <c r="G142" s="239"/>
      <c r="H142" s="40"/>
      <c r="I142" s="239"/>
      <c r="J142" s="40"/>
      <c r="K142" s="239"/>
      <c r="L142" s="40"/>
      <c r="M142" s="40"/>
    </row>
    <row r="143" spans="1:13" s="53" customFormat="1" ht="27" hidden="1">
      <c r="A143" s="2"/>
      <c r="B143" s="239"/>
      <c r="C143" s="275" t="s">
        <v>271</v>
      </c>
      <c r="D143" s="1" t="s">
        <v>248</v>
      </c>
      <c r="E143" s="274">
        <f>14*0.08*0.05</f>
        <v>0.05600000000000001</v>
      </c>
      <c r="F143" s="267">
        <f>F135*E143</f>
        <v>0</v>
      </c>
      <c r="G143" s="274"/>
      <c r="H143" s="40"/>
      <c r="I143" s="239"/>
      <c r="J143" s="40"/>
      <c r="K143" s="239"/>
      <c r="L143" s="40"/>
      <c r="M143" s="40"/>
    </row>
    <row r="144" spans="1:13" s="53" customFormat="1" ht="27" hidden="1">
      <c r="A144" s="2"/>
      <c r="B144" s="239"/>
      <c r="C144" s="275" t="s">
        <v>273</v>
      </c>
      <c r="D144" s="1" t="s">
        <v>248</v>
      </c>
      <c r="E144" s="274">
        <f>14*0.08*0.05</f>
        <v>0.05600000000000001</v>
      </c>
      <c r="F144" s="267">
        <f>F135*E144</f>
        <v>0</v>
      </c>
      <c r="G144" s="274"/>
      <c r="H144" s="40"/>
      <c r="I144" s="239"/>
      <c r="J144" s="40"/>
      <c r="K144" s="239"/>
      <c r="L144" s="40"/>
      <c r="M144" s="40"/>
    </row>
    <row r="145" spans="1:13" s="53" customFormat="1" ht="27" hidden="1">
      <c r="A145" s="2"/>
      <c r="B145" s="239"/>
      <c r="C145" s="275" t="s">
        <v>274</v>
      </c>
      <c r="D145" s="1" t="s">
        <v>248</v>
      </c>
      <c r="E145" s="274">
        <f>3.2*0.08*0.06</f>
        <v>0.01536</v>
      </c>
      <c r="F145" s="267">
        <f>F136*E145</f>
        <v>0</v>
      </c>
      <c r="G145" s="274"/>
      <c r="H145" s="40"/>
      <c r="I145" s="239"/>
      <c r="J145" s="40"/>
      <c r="K145" s="239"/>
      <c r="L145" s="40"/>
      <c r="M145" s="40"/>
    </row>
    <row r="146" spans="1:13" s="53" customFormat="1" ht="15.75" hidden="1">
      <c r="A146" s="2"/>
      <c r="B146" s="239"/>
      <c r="C146" s="275" t="s">
        <v>293</v>
      </c>
      <c r="D146" s="1" t="s">
        <v>248</v>
      </c>
      <c r="E146" s="274">
        <v>0.07</v>
      </c>
      <c r="F146" s="267">
        <f>F135*E146</f>
        <v>0</v>
      </c>
      <c r="G146" s="274"/>
      <c r="H146" s="40"/>
      <c r="I146" s="239"/>
      <c r="J146" s="40"/>
      <c r="K146" s="239"/>
      <c r="L146" s="40"/>
      <c r="M146" s="40"/>
    </row>
    <row r="147" spans="1:13" s="53" customFormat="1" ht="15.75" hidden="1">
      <c r="A147" s="2"/>
      <c r="B147" s="239"/>
      <c r="C147" s="275" t="s">
        <v>238</v>
      </c>
      <c r="D147" s="1" t="s">
        <v>248</v>
      </c>
      <c r="E147" s="274">
        <f>0.8*0.03*14+14*0.03</f>
        <v>0.756</v>
      </c>
      <c r="F147" s="267">
        <f>F135*E147</f>
        <v>0</v>
      </c>
      <c r="G147" s="274"/>
      <c r="H147" s="40"/>
      <c r="I147" s="239"/>
      <c r="J147" s="40"/>
      <c r="K147" s="239"/>
      <c r="L147" s="40"/>
      <c r="M147" s="40"/>
    </row>
    <row r="148" spans="1:13" s="53" customFormat="1" ht="15.75" hidden="1">
      <c r="A148" s="2"/>
      <c r="B148" s="239"/>
      <c r="C148" s="275" t="s">
        <v>270</v>
      </c>
      <c r="D148" s="1" t="s">
        <v>10</v>
      </c>
      <c r="E148" s="274">
        <v>12</v>
      </c>
      <c r="F148" s="267">
        <f>F135*E148</f>
        <v>0</v>
      </c>
      <c r="G148" s="274"/>
      <c r="H148" s="40"/>
      <c r="I148" s="239"/>
      <c r="J148" s="40"/>
      <c r="K148" s="239"/>
      <c r="L148" s="40"/>
      <c r="M148" s="40"/>
    </row>
    <row r="149" spans="1:13" s="53" customFormat="1" ht="15.75" hidden="1">
      <c r="A149" s="237"/>
      <c r="B149" s="268"/>
      <c r="C149" s="232" t="s">
        <v>85</v>
      </c>
      <c r="D149" s="232" t="s">
        <v>10</v>
      </c>
      <c r="E149" s="273">
        <v>2</v>
      </c>
      <c r="F149" s="268">
        <f>F135*E149</f>
        <v>0</v>
      </c>
      <c r="G149" s="240"/>
      <c r="H149" s="40"/>
      <c r="I149" s="239"/>
      <c r="J149" s="40"/>
      <c r="K149" s="239"/>
      <c r="L149" s="40"/>
      <c r="M149" s="40"/>
    </row>
    <row r="150" spans="1:13" s="53" customFormat="1" ht="15.75" hidden="1">
      <c r="A150" s="237"/>
      <c r="B150" s="268"/>
      <c r="C150" s="232" t="s">
        <v>237</v>
      </c>
      <c r="D150" s="232" t="s">
        <v>81</v>
      </c>
      <c r="E150" s="273">
        <v>1</v>
      </c>
      <c r="F150" s="268">
        <f>F135*E150</f>
        <v>0</v>
      </c>
      <c r="G150" s="240"/>
      <c r="H150" s="40"/>
      <c r="I150" s="239"/>
      <c r="J150" s="40"/>
      <c r="K150" s="239"/>
      <c r="L150" s="40"/>
      <c r="M150" s="40"/>
    </row>
    <row r="151" spans="1:13" s="53" customFormat="1" ht="15.75" hidden="1">
      <c r="A151" s="2"/>
      <c r="B151" s="274"/>
      <c r="C151" s="275" t="s">
        <v>227</v>
      </c>
      <c r="D151" s="1" t="s">
        <v>226</v>
      </c>
      <c r="E151" s="274">
        <v>22.5</v>
      </c>
      <c r="F151" s="267">
        <f>F135*E151</f>
        <v>0</v>
      </c>
      <c r="G151" s="274"/>
      <c r="H151" s="40"/>
      <c r="I151" s="239"/>
      <c r="J151" s="40"/>
      <c r="K151" s="239"/>
      <c r="L151" s="40"/>
      <c r="M151" s="40"/>
    </row>
    <row r="152" spans="1:13" s="53" customFormat="1" ht="27" hidden="1">
      <c r="A152" s="233"/>
      <c r="B152" s="274"/>
      <c r="C152" s="235" t="s">
        <v>294</v>
      </c>
      <c r="D152" s="2" t="s">
        <v>249</v>
      </c>
      <c r="E152" s="270"/>
      <c r="F152" s="266">
        <f>F135*14</f>
        <v>0</v>
      </c>
      <c r="G152" s="238"/>
      <c r="H152" s="40"/>
      <c r="I152" s="239"/>
      <c r="J152" s="40"/>
      <c r="K152" s="239"/>
      <c r="L152" s="40"/>
      <c r="M152" s="40"/>
    </row>
    <row r="153" spans="1:13" s="53" customFormat="1" ht="15.75" hidden="1">
      <c r="A153" s="9"/>
      <c r="B153" s="271"/>
      <c r="C153" s="9" t="s">
        <v>12</v>
      </c>
      <c r="D153" s="9" t="s">
        <v>249</v>
      </c>
      <c r="E153" s="271">
        <v>1</v>
      </c>
      <c r="F153" s="268">
        <f>F152*E153</f>
        <v>0</v>
      </c>
      <c r="G153" s="262"/>
      <c r="H153" s="40"/>
      <c r="I153" s="239"/>
      <c r="J153" s="40"/>
      <c r="K153" s="239"/>
      <c r="L153" s="40"/>
      <c r="M153" s="40"/>
    </row>
    <row r="154" spans="1:13" s="53" customFormat="1" ht="15.75" hidden="1">
      <c r="A154" s="9"/>
      <c r="B154" s="271"/>
      <c r="C154" s="9" t="s">
        <v>272</v>
      </c>
      <c r="D154" s="9" t="s">
        <v>249</v>
      </c>
      <c r="E154" s="271">
        <v>1.25</v>
      </c>
      <c r="F154" s="268">
        <f>F152*E154</f>
        <v>0</v>
      </c>
      <c r="G154" s="277"/>
      <c r="H154" s="40"/>
      <c r="I154" s="239"/>
      <c r="J154" s="40"/>
      <c r="K154" s="239"/>
      <c r="L154" s="40"/>
      <c r="M154" s="40"/>
    </row>
    <row r="155" spans="1:13" s="53" customFormat="1" ht="15.75" hidden="1">
      <c r="A155" s="9"/>
      <c r="B155" s="271"/>
      <c r="C155" s="9" t="s">
        <v>227</v>
      </c>
      <c r="D155" s="9" t="s">
        <v>226</v>
      </c>
      <c r="E155" s="271">
        <v>0.77</v>
      </c>
      <c r="F155" s="268">
        <f>F152*E155</f>
        <v>0</v>
      </c>
      <c r="G155" s="277"/>
      <c r="H155" s="40"/>
      <c r="I155" s="239"/>
      <c r="J155" s="40"/>
      <c r="K155" s="239"/>
      <c r="L155" s="40"/>
      <c r="M155" s="40"/>
    </row>
    <row r="156" spans="1:13" s="53" customFormat="1" ht="18" customHeight="1">
      <c r="A156" s="233">
        <f>A115+1</f>
        <v>14</v>
      </c>
      <c r="B156" s="268"/>
      <c r="C156" s="237" t="s">
        <v>267</v>
      </c>
      <c r="D156" s="2" t="s">
        <v>249</v>
      </c>
      <c r="E156" s="268"/>
      <c r="F156" s="266">
        <v>28</v>
      </c>
      <c r="G156" s="238"/>
      <c r="H156" s="22"/>
      <c r="I156" s="240"/>
      <c r="J156" s="22"/>
      <c r="K156" s="240"/>
      <c r="L156" s="22"/>
      <c r="M156" s="40"/>
    </row>
    <row r="157" spans="1:13" s="53" customFormat="1" ht="15.75">
      <c r="A157" s="269"/>
      <c r="B157" s="240"/>
      <c r="C157" s="10" t="s">
        <v>12</v>
      </c>
      <c r="D157" s="9" t="s">
        <v>249</v>
      </c>
      <c r="E157" s="240">
        <v>1</v>
      </c>
      <c r="F157" s="268">
        <f>F156*E157</f>
        <v>28</v>
      </c>
      <c r="G157" s="262"/>
      <c r="H157" s="40"/>
      <c r="I157" s="239"/>
      <c r="J157" s="40"/>
      <c r="K157" s="239"/>
      <c r="L157" s="40"/>
      <c r="M157" s="40"/>
    </row>
    <row r="158" spans="1:13" s="53" customFormat="1" ht="15.75">
      <c r="A158" s="269"/>
      <c r="B158" s="240"/>
      <c r="C158" s="10" t="s">
        <v>259</v>
      </c>
      <c r="D158" s="9" t="s">
        <v>249</v>
      </c>
      <c r="E158" s="240">
        <v>1</v>
      </c>
      <c r="F158" s="268">
        <f>E158*F156</f>
        <v>28</v>
      </c>
      <c r="G158" s="244"/>
      <c r="H158" s="40"/>
      <c r="I158" s="239"/>
      <c r="J158" s="40"/>
      <c r="K158" s="239"/>
      <c r="L158" s="40"/>
      <c r="M158" s="40"/>
    </row>
    <row r="159" spans="1:13" s="53" customFormat="1" ht="18" customHeight="1">
      <c r="A159" s="233">
        <f>A156+1</f>
        <v>15</v>
      </c>
      <c r="B159" s="268"/>
      <c r="C159" s="237" t="s">
        <v>268</v>
      </c>
      <c r="D159" s="2" t="s">
        <v>249</v>
      </c>
      <c r="E159" s="268"/>
      <c r="F159" s="266">
        <f>F156</f>
        <v>28</v>
      </c>
      <c r="G159" s="238"/>
      <c r="H159" s="22"/>
      <c r="I159" s="240"/>
      <c r="J159" s="22"/>
      <c r="K159" s="240"/>
      <c r="L159" s="22"/>
      <c r="M159" s="40"/>
    </row>
    <row r="160" spans="1:13" s="53" customFormat="1" ht="15.75">
      <c r="A160" s="269"/>
      <c r="B160" s="240"/>
      <c r="C160" s="10" t="s">
        <v>12</v>
      </c>
      <c r="D160" s="2" t="s">
        <v>226</v>
      </c>
      <c r="E160" s="240">
        <v>1</v>
      </c>
      <c r="F160" s="268">
        <f>F159*E160</f>
        <v>28</v>
      </c>
      <c r="G160" s="262"/>
      <c r="H160" s="40"/>
      <c r="I160" s="239"/>
      <c r="J160" s="40"/>
      <c r="K160" s="239"/>
      <c r="L160" s="40"/>
      <c r="M160" s="40"/>
    </row>
    <row r="161" spans="1:13" s="53" customFormat="1" ht="15.75">
      <c r="A161" s="269"/>
      <c r="B161" s="240"/>
      <c r="C161" s="10" t="s">
        <v>263</v>
      </c>
      <c r="D161" s="9" t="s">
        <v>81</v>
      </c>
      <c r="E161" s="240">
        <v>1</v>
      </c>
      <c r="F161" s="268">
        <f>E161*F159</f>
        <v>28</v>
      </c>
      <c r="G161" s="244"/>
      <c r="H161" s="40"/>
      <c r="I161" s="239"/>
      <c r="J161" s="40"/>
      <c r="K161" s="239"/>
      <c r="L161" s="40"/>
      <c r="M161" s="40"/>
    </row>
    <row r="162" spans="1:13" s="53" customFormat="1" ht="27">
      <c r="A162" s="233">
        <f>A159+1</f>
        <v>16</v>
      </c>
      <c r="B162" s="268"/>
      <c r="C162" s="237" t="s">
        <v>255</v>
      </c>
      <c r="D162" s="2" t="s">
        <v>249</v>
      </c>
      <c r="E162" s="268"/>
      <c r="F162" s="266">
        <f>(6*F48+6.8*F68+1.4*F77+0.5*F87+1.65/2*F115)*1.1</f>
        <v>45.76</v>
      </c>
      <c r="G162" s="238"/>
      <c r="H162" s="22"/>
      <c r="I162" s="240"/>
      <c r="J162" s="22"/>
      <c r="K162" s="240"/>
      <c r="L162" s="22"/>
      <c r="M162" s="40"/>
    </row>
    <row r="163" spans="1:13" s="53" customFormat="1" ht="15.75">
      <c r="A163" s="269"/>
      <c r="B163" s="240"/>
      <c r="C163" s="10" t="s">
        <v>12</v>
      </c>
      <c r="D163" s="9" t="s">
        <v>249</v>
      </c>
      <c r="E163" s="240">
        <v>1</v>
      </c>
      <c r="F163" s="268">
        <f>F162*E163</f>
        <v>45.76</v>
      </c>
      <c r="G163" s="262"/>
      <c r="H163" s="40"/>
      <c r="I163" s="239"/>
      <c r="J163" s="40"/>
      <c r="K163" s="239"/>
      <c r="L163" s="40"/>
      <c r="M163" s="40"/>
    </row>
    <row r="164" spans="1:13" s="53" customFormat="1" ht="15.75">
      <c r="A164" s="269"/>
      <c r="B164" s="240"/>
      <c r="C164" s="10" t="s">
        <v>243</v>
      </c>
      <c r="D164" s="232" t="s">
        <v>81</v>
      </c>
      <c r="E164" s="240">
        <f>0.4*3</f>
        <v>1.2000000000000002</v>
      </c>
      <c r="F164" s="268">
        <f>E164*F162</f>
        <v>54.912000000000006</v>
      </c>
      <c r="G164" s="244"/>
      <c r="H164" s="40"/>
      <c r="I164" s="239"/>
      <c r="J164" s="40"/>
      <c r="K164" s="239"/>
      <c r="L164" s="40"/>
      <c r="M164" s="40"/>
    </row>
    <row r="165" spans="1:13" s="53" customFormat="1" ht="15.75">
      <c r="A165" s="269"/>
      <c r="B165" s="239"/>
      <c r="C165" s="10" t="s">
        <v>244</v>
      </c>
      <c r="D165" s="232" t="s">
        <v>81</v>
      </c>
      <c r="E165" s="240">
        <f>0.2*3</f>
        <v>0.6000000000000001</v>
      </c>
      <c r="F165" s="240">
        <f>E165*F162</f>
        <v>27.456000000000003</v>
      </c>
      <c r="G165" s="244"/>
      <c r="H165" s="40"/>
      <c r="I165" s="239"/>
      <c r="J165" s="40"/>
      <c r="K165" s="239"/>
      <c r="L165" s="40"/>
      <c r="M165" s="40"/>
    </row>
    <row r="166" spans="1:13" s="53" customFormat="1" ht="18" customHeight="1">
      <c r="A166" s="233">
        <f>A162+1</f>
        <v>17</v>
      </c>
      <c r="B166" s="268"/>
      <c r="C166" s="237" t="s">
        <v>245</v>
      </c>
      <c r="D166" s="2" t="s">
        <v>248</v>
      </c>
      <c r="E166" s="268"/>
      <c r="F166" s="238">
        <v>3.6</v>
      </c>
      <c r="G166" s="238"/>
      <c r="H166" s="22"/>
      <c r="I166" s="240"/>
      <c r="J166" s="22"/>
      <c r="K166" s="240"/>
      <c r="L166" s="22"/>
      <c r="M166" s="40"/>
    </row>
    <row r="167" spans="1:13" s="53" customFormat="1" ht="15.75">
      <c r="A167" s="263"/>
      <c r="B167" s="264"/>
      <c r="C167" s="2" t="s">
        <v>228</v>
      </c>
      <c r="D167" s="2" t="s">
        <v>248</v>
      </c>
      <c r="E167" s="239">
        <v>1</v>
      </c>
      <c r="F167" s="239">
        <f>F166*E167</f>
        <v>3.6</v>
      </c>
      <c r="G167" s="262"/>
      <c r="H167" s="40"/>
      <c r="I167" s="239"/>
      <c r="J167" s="40"/>
      <c r="K167" s="239"/>
      <c r="L167" s="40"/>
      <c r="M167" s="40"/>
    </row>
    <row r="168" spans="1:13" s="53" customFormat="1" ht="15.75">
      <c r="A168" s="263"/>
      <c r="B168" s="264"/>
      <c r="C168" s="232" t="s">
        <v>47</v>
      </c>
      <c r="D168" s="2" t="s">
        <v>226</v>
      </c>
      <c r="E168" s="239">
        <v>1</v>
      </c>
      <c r="F168" s="239">
        <f>F166*E168</f>
        <v>3.6</v>
      </c>
      <c r="G168" s="239"/>
      <c r="H168" s="40"/>
      <c r="I168" s="239"/>
      <c r="J168" s="40"/>
      <c r="K168" s="239"/>
      <c r="L168" s="40"/>
      <c r="M168" s="40"/>
    </row>
    <row r="169" spans="1:16" s="143" customFormat="1" ht="17.25" customHeight="1">
      <c r="A169" s="134"/>
      <c r="B169" s="70"/>
      <c r="C169" s="136" t="s">
        <v>29</v>
      </c>
      <c r="D169" s="135"/>
      <c r="E169" s="135"/>
      <c r="F169" s="134"/>
      <c r="G169" s="137"/>
      <c r="H169" s="254"/>
      <c r="I169" s="255"/>
      <c r="J169" s="254"/>
      <c r="K169" s="255"/>
      <c r="L169" s="254"/>
      <c r="M169" s="254"/>
      <c r="N169" s="140"/>
      <c r="O169" s="141"/>
      <c r="P169" s="142"/>
    </row>
    <row r="170" spans="1:16" s="52" customFormat="1" ht="12.75" customHeight="1" thickBot="1">
      <c r="A170" s="124"/>
      <c r="B170" s="8"/>
      <c r="C170" s="124"/>
      <c r="D170" s="125"/>
      <c r="E170" s="125"/>
      <c r="F170" s="124"/>
      <c r="G170" s="149"/>
      <c r="H170" s="256"/>
      <c r="I170" s="257"/>
      <c r="J170" s="258"/>
      <c r="K170" s="257"/>
      <c r="L170" s="258"/>
      <c r="M170" s="259"/>
      <c r="O170" s="125"/>
      <c r="P170" s="125"/>
    </row>
    <row r="171" spans="1:16" s="161" customFormat="1" ht="17.25" customHeight="1">
      <c r="A171" s="154"/>
      <c r="B171" s="71"/>
      <c r="C171" s="156" t="s">
        <v>7</v>
      </c>
      <c r="D171" s="155"/>
      <c r="E171" s="155"/>
      <c r="F171" s="156"/>
      <c r="G171" s="156"/>
      <c r="H171" s="260"/>
      <c r="I171" s="261"/>
      <c r="J171" s="260"/>
      <c r="K171" s="261"/>
      <c r="L171" s="260"/>
      <c r="M171" s="260"/>
      <c r="N171" s="158"/>
      <c r="O171" s="159"/>
      <c r="P171" s="160"/>
    </row>
    <row r="172" spans="1:16" s="4" customFormat="1" ht="15" customHeight="1">
      <c r="A172" s="279"/>
      <c r="B172" s="1"/>
      <c r="C172" s="2" t="s">
        <v>13</v>
      </c>
      <c r="D172" s="280" t="s">
        <v>309</v>
      </c>
      <c r="E172" s="1"/>
      <c r="F172" s="280"/>
      <c r="G172" s="2"/>
      <c r="H172" s="281"/>
      <c r="I172" s="247"/>
      <c r="J172" s="247"/>
      <c r="K172" s="247"/>
      <c r="L172" s="247"/>
      <c r="M172" s="282"/>
      <c r="N172" s="283"/>
      <c r="O172" s="8"/>
      <c r="P172" s="8"/>
    </row>
    <row r="173" spans="1:16" s="231" customFormat="1" ht="15" customHeight="1">
      <c r="A173" s="279"/>
      <c r="B173" s="1"/>
      <c r="C173" s="2" t="s">
        <v>7</v>
      </c>
      <c r="D173" s="1"/>
      <c r="E173" s="1"/>
      <c r="F173" s="235"/>
      <c r="G173" s="233"/>
      <c r="H173" s="284"/>
      <c r="I173" s="248"/>
      <c r="J173" s="248"/>
      <c r="K173" s="248"/>
      <c r="L173" s="248"/>
      <c r="M173" s="282"/>
      <c r="O173" s="285"/>
      <c r="P173" s="285"/>
    </row>
    <row r="174" spans="1:13" s="4" customFormat="1" ht="15.75" customHeight="1">
      <c r="A174" s="279"/>
      <c r="B174" s="1"/>
      <c r="C174" s="2" t="s">
        <v>9</v>
      </c>
      <c r="D174" s="280" t="s">
        <v>309</v>
      </c>
      <c r="E174" s="1"/>
      <c r="F174" s="280"/>
      <c r="G174" s="2"/>
      <c r="H174" s="281"/>
      <c r="I174" s="247"/>
      <c r="J174" s="247"/>
      <c r="K174" s="247"/>
      <c r="L174" s="247"/>
      <c r="M174" s="282"/>
    </row>
    <row r="175" spans="1:13" s="231" customFormat="1" ht="15" customHeight="1">
      <c r="A175" s="279"/>
      <c r="B175" s="1"/>
      <c r="C175" s="2" t="s">
        <v>7</v>
      </c>
      <c r="D175" s="1"/>
      <c r="E175" s="1"/>
      <c r="F175" s="235"/>
      <c r="G175" s="233"/>
      <c r="H175" s="284"/>
      <c r="I175" s="248"/>
      <c r="J175" s="248"/>
      <c r="K175" s="248"/>
      <c r="L175" s="248"/>
      <c r="M175" s="282"/>
    </row>
    <row r="176" spans="1:13" s="4" customFormat="1" ht="15" customHeight="1">
      <c r="A176" s="279"/>
      <c r="B176" s="1"/>
      <c r="C176" s="2" t="s">
        <v>61</v>
      </c>
      <c r="D176" s="280">
        <v>0.03</v>
      </c>
      <c r="E176" s="1"/>
      <c r="F176" s="280"/>
      <c r="G176" s="2"/>
      <c r="H176" s="281"/>
      <c r="I176" s="247"/>
      <c r="J176" s="247"/>
      <c r="K176" s="247"/>
      <c r="L176" s="247"/>
      <c r="M176" s="282"/>
    </row>
    <row r="177" spans="1:13" s="231" customFormat="1" ht="15" customHeight="1">
      <c r="A177" s="279"/>
      <c r="B177" s="1"/>
      <c r="C177" s="233" t="s">
        <v>7</v>
      </c>
      <c r="D177" s="1"/>
      <c r="E177" s="1"/>
      <c r="F177" s="235"/>
      <c r="G177" s="233"/>
      <c r="H177" s="284"/>
      <c r="I177" s="248"/>
      <c r="J177" s="248"/>
      <c r="K177" s="248"/>
      <c r="L177" s="248"/>
      <c r="M177" s="286"/>
    </row>
    <row r="178" spans="1:13" s="4" customFormat="1" ht="15.75" customHeight="1">
      <c r="A178" s="279"/>
      <c r="B178" s="1"/>
      <c r="C178" s="2" t="s">
        <v>62</v>
      </c>
      <c r="D178" s="280">
        <v>0.18</v>
      </c>
      <c r="E178" s="1"/>
      <c r="F178" s="280"/>
      <c r="G178" s="2"/>
      <c r="H178" s="281"/>
      <c r="I178" s="247"/>
      <c r="J178" s="247"/>
      <c r="K178" s="247"/>
      <c r="L178" s="247"/>
      <c r="M178" s="282"/>
    </row>
    <row r="179" spans="1:13" s="161" customFormat="1" ht="18" customHeight="1" thickBot="1">
      <c r="A179" s="170"/>
      <c r="B179" s="72"/>
      <c r="C179" s="172" t="s">
        <v>8</v>
      </c>
      <c r="D179" s="171"/>
      <c r="E179" s="171"/>
      <c r="F179" s="172"/>
      <c r="G179" s="172"/>
      <c r="H179" s="173"/>
      <c r="I179" s="249"/>
      <c r="J179" s="173"/>
      <c r="K179" s="249"/>
      <c r="L179" s="173"/>
      <c r="M179" s="174"/>
    </row>
    <row r="180" spans="1:12" ht="15">
      <c r="A180" s="175"/>
      <c r="B180" s="82"/>
      <c r="C180" s="177"/>
      <c r="D180" s="177"/>
      <c r="E180" s="176"/>
      <c r="F180" s="177"/>
      <c r="G180" s="178"/>
      <c r="H180" s="178"/>
      <c r="I180" s="250"/>
      <c r="J180" s="177"/>
      <c r="K180" s="250"/>
      <c r="L180" s="177"/>
    </row>
    <row r="181" spans="1:12" ht="15">
      <c r="A181" s="175"/>
      <c r="B181" s="82"/>
      <c r="C181" s="177"/>
      <c r="D181" s="177"/>
      <c r="E181" s="176"/>
      <c r="F181" s="177"/>
      <c r="G181" s="178"/>
      <c r="H181" s="178"/>
      <c r="I181" s="250"/>
      <c r="J181" s="177"/>
      <c r="K181" s="250"/>
      <c r="L181" s="177"/>
    </row>
    <row r="182" spans="1:14" ht="15">
      <c r="A182" s="175"/>
      <c r="B182" s="82"/>
      <c r="C182" s="177"/>
      <c r="D182" s="177"/>
      <c r="E182" s="176"/>
      <c r="F182" s="177"/>
      <c r="G182" s="178"/>
      <c r="H182" s="178"/>
      <c r="I182" s="250"/>
      <c r="J182" s="183"/>
      <c r="K182" s="250"/>
      <c r="L182" s="177"/>
      <c r="M182" s="184"/>
      <c r="N182" s="79"/>
    </row>
    <row r="183" spans="1:12" ht="15">
      <c r="A183" s="175"/>
      <c r="B183" s="82"/>
      <c r="C183" s="177"/>
      <c r="D183" s="177"/>
      <c r="E183" s="176"/>
      <c r="F183" s="177"/>
      <c r="G183" s="178"/>
      <c r="H183" s="178"/>
      <c r="I183" s="250"/>
      <c r="J183" s="177"/>
      <c r="K183" s="250"/>
      <c r="L183" s="177"/>
    </row>
    <row r="184" spans="1:14" ht="15">
      <c r="A184" s="175"/>
      <c r="B184" s="82"/>
      <c r="C184" s="177"/>
      <c r="D184" s="177"/>
      <c r="E184" s="176"/>
      <c r="F184" s="177"/>
      <c r="G184" s="178"/>
      <c r="H184" s="178"/>
      <c r="I184" s="250"/>
      <c r="J184" s="177"/>
      <c r="K184" s="250"/>
      <c r="L184" s="177"/>
      <c r="M184" s="184"/>
      <c r="N184" s="79"/>
    </row>
    <row r="185" spans="1:12" ht="15">
      <c r="A185" s="175"/>
      <c r="B185" s="82"/>
      <c r="C185" s="177"/>
      <c r="D185" s="177"/>
      <c r="E185" s="176"/>
      <c r="F185" s="177"/>
      <c r="G185" s="178"/>
      <c r="H185" s="178"/>
      <c r="I185" s="250"/>
      <c r="J185" s="177"/>
      <c r="K185" s="250"/>
      <c r="L185" s="177"/>
    </row>
    <row r="186" spans="1:14" ht="15">
      <c r="A186" s="175"/>
      <c r="B186" s="82"/>
      <c r="C186" s="177"/>
      <c r="D186" s="177"/>
      <c r="E186" s="176"/>
      <c r="F186" s="177"/>
      <c r="G186" s="178"/>
      <c r="H186" s="178"/>
      <c r="I186" s="250"/>
      <c r="J186" s="177"/>
      <c r="K186" s="250"/>
      <c r="L186" s="177"/>
      <c r="M186" s="185"/>
      <c r="N186" s="79"/>
    </row>
    <row r="187" spans="1:12" ht="15">
      <c r="A187" s="175"/>
      <c r="B187" s="82"/>
      <c r="C187" s="177"/>
      <c r="D187" s="177"/>
      <c r="E187" s="176"/>
      <c r="F187" s="177"/>
      <c r="G187" s="178"/>
      <c r="H187" s="178"/>
      <c r="I187" s="250"/>
      <c r="J187" s="177"/>
      <c r="K187" s="250"/>
      <c r="L187" s="177"/>
    </row>
    <row r="188" spans="1:12" ht="15">
      <c r="A188" s="175"/>
      <c r="B188" s="82"/>
      <c r="C188" s="177"/>
      <c r="D188" s="177"/>
      <c r="E188" s="176"/>
      <c r="F188" s="177"/>
      <c r="G188" s="178"/>
      <c r="H188" s="178"/>
      <c r="I188" s="250"/>
      <c r="J188" s="177"/>
      <c r="K188" s="250"/>
      <c r="L188" s="177"/>
    </row>
    <row r="189" spans="1:12" ht="15">
      <c r="A189" s="175"/>
      <c r="B189" s="82"/>
      <c r="C189" s="177"/>
      <c r="D189" s="177"/>
      <c r="E189" s="176"/>
      <c r="F189" s="177"/>
      <c r="G189" s="178"/>
      <c r="H189" s="178"/>
      <c r="I189" s="250"/>
      <c r="J189" s="177"/>
      <c r="K189" s="250"/>
      <c r="L189" s="177"/>
    </row>
    <row r="190" spans="1:12" ht="15">
      <c r="A190" s="175"/>
      <c r="B190" s="82"/>
      <c r="C190" s="177"/>
      <c r="D190" s="177"/>
      <c r="E190" s="176"/>
      <c r="F190" s="177"/>
      <c r="G190" s="178"/>
      <c r="H190" s="178"/>
      <c r="I190" s="250"/>
      <c r="J190" s="177"/>
      <c r="K190" s="250"/>
      <c r="L190" s="177"/>
    </row>
    <row r="191" spans="1:12" ht="15">
      <c r="A191" s="175"/>
      <c r="B191" s="82"/>
      <c r="C191" s="177"/>
      <c r="D191" s="177"/>
      <c r="E191" s="176"/>
      <c r="F191" s="177"/>
      <c r="G191" s="178"/>
      <c r="H191" s="178"/>
      <c r="I191" s="250"/>
      <c r="J191" s="177"/>
      <c r="K191" s="250"/>
      <c r="L191" s="177"/>
    </row>
    <row r="192" spans="1:12" ht="15">
      <c r="A192" s="175"/>
      <c r="B192" s="82"/>
      <c r="C192" s="177"/>
      <c r="D192" s="177"/>
      <c r="E192" s="176"/>
      <c r="F192" s="177"/>
      <c r="G192" s="178"/>
      <c r="H192" s="178"/>
      <c r="I192" s="250"/>
      <c r="J192" s="177"/>
      <c r="K192" s="250"/>
      <c r="L192" s="177"/>
    </row>
    <row r="193" spans="1:12" ht="15">
      <c r="A193" s="175"/>
      <c r="B193" s="82"/>
      <c r="C193" s="177"/>
      <c r="D193" s="177"/>
      <c r="E193" s="176"/>
      <c r="F193" s="177"/>
      <c r="G193" s="178"/>
      <c r="H193" s="178"/>
      <c r="I193" s="250"/>
      <c r="J193" s="177"/>
      <c r="K193" s="250"/>
      <c r="L193" s="177"/>
    </row>
    <row r="194" spans="1:12" ht="15">
      <c r="A194" s="175"/>
      <c r="B194" s="82"/>
      <c r="C194" s="177"/>
      <c r="D194" s="177"/>
      <c r="E194" s="176"/>
      <c r="F194" s="177"/>
      <c r="G194" s="178"/>
      <c r="H194" s="178"/>
      <c r="I194" s="250"/>
      <c r="J194" s="177"/>
      <c r="K194" s="250"/>
      <c r="L194" s="177"/>
    </row>
    <row r="195" spans="1:12" ht="15">
      <c r="A195" s="175"/>
      <c r="B195" s="82"/>
      <c r="C195" s="177"/>
      <c r="D195" s="177"/>
      <c r="E195" s="176"/>
      <c r="F195" s="177"/>
      <c r="G195" s="178"/>
      <c r="H195" s="178"/>
      <c r="I195" s="250"/>
      <c r="J195" s="177"/>
      <c r="K195" s="250"/>
      <c r="L195" s="177"/>
    </row>
    <row r="196" spans="1:12" ht="15">
      <c r="A196" s="175"/>
      <c r="B196" s="82"/>
      <c r="C196" s="177"/>
      <c r="D196" s="177"/>
      <c r="E196" s="176"/>
      <c r="F196" s="177"/>
      <c r="G196" s="178"/>
      <c r="H196" s="178"/>
      <c r="I196" s="250"/>
      <c r="J196" s="177"/>
      <c r="K196" s="250"/>
      <c r="L196" s="177"/>
    </row>
    <row r="197" spans="1:12" ht="15">
      <c r="A197" s="175"/>
      <c r="B197" s="82"/>
      <c r="C197" s="177"/>
      <c r="D197" s="177"/>
      <c r="E197" s="176"/>
      <c r="F197" s="177"/>
      <c r="G197" s="178"/>
      <c r="H197" s="178"/>
      <c r="I197" s="250"/>
      <c r="J197" s="177"/>
      <c r="K197" s="250"/>
      <c r="L197" s="177"/>
    </row>
    <row r="198" spans="1:12" ht="15">
      <c r="A198" s="175"/>
      <c r="B198" s="82"/>
      <c r="C198" s="177"/>
      <c r="D198" s="177"/>
      <c r="E198" s="176"/>
      <c r="F198" s="177"/>
      <c r="G198" s="178"/>
      <c r="H198" s="178"/>
      <c r="I198" s="250"/>
      <c r="J198" s="177"/>
      <c r="K198" s="250"/>
      <c r="L198" s="177"/>
    </row>
    <row r="199" spans="1:12" ht="15">
      <c r="A199" s="175"/>
      <c r="B199" s="82"/>
      <c r="C199" s="177"/>
      <c r="D199" s="177"/>
      <c r="E199" s="176"/>
      <c r="F199" s="177"/>
      <c r="G199" s="178"/>
      <c r="H199" s="178"/>
      <c r="I199" s="250"/>
      <c r="J199" s="177"/>
      <c r="K199" s="250"/>
      <c r="L199" s="177"/>
    </row>
    <row r="200" spans="1:12" ht="15">
      <c r="A200" s="175"/>
      <c r="B200" s="82"/>
      <c r="C200" s="177"/>
      <c r="D200" s="177"/>
      <c r="E200" s="176"/>
      <c r="F200" s="177"/>
      <c r="G200" s="178"/>
      <c r="H200" s="178"/>
      <c r="I200" s="250"/>
      <c r="J200" s="177"/>
      <c r="K200" s="250"/>
      <c r="L200" s="177"/>
    </row>
    <row r="201" spans="1:12" ht="15">
      <c r="A201" s="175"/>
      <c r="B201" s="82"/>
      <c r="C201" s="177"/>
      <c r="D201" s="177"/>
      <c r="E201" s="176"/>
      <c r="F201" s="177"/>
      <c r="G201" s="178"/>
      <c r="H201" s="178"/>
      <c r="I201" s="250"/>
      <c r="J201" s="177"/>
      <c r="K201" s="250"/>
      <c r="L201" s="177"/>
    </row>
    <row r="202" spans="1:12" ht="15">
      <c r="A202" s="175"/>
      <c r="B202" s="82"/>
      <c r="C202" s="177"/>
      <c r="D202" s="177"/>
      <c r="E202" s="176"/>
      <c r="F202" s="177"/>
      <c r="G202" s="178"/>
      <c r="H202" s="178"/>
      <c r="I202" s="250"/>
      <c r="J202" s="177"/>
      <c r="K202" s="250"/>
      <c r="L202" s="177"/>
    </row>
    <row r="203" spans="1:12" ht="15">
      <c r="A203" s="175"/>
      <c r="B203" s="82"/>
      <c r="C203" s="177"/>
      <c r="D203" s="177"/>
      <c r="E203" s="176"/>
      <c r="F203" s="177"/>
      <c r="G203" s="178"/>
      <c r="H203" s="178"/>
      <c r="I203" s="250"/>
      <c r="J203" s="177"/>
      <c r="K203" s="250"/>
      <c r="L203" s="177"/>
    </row>
    <row r="204" spans="1:12" ht="15">
      <c r="A204" s="175"/>
      <c r="B204" s="82"/>
      <c r="C204" s="177"/>
      <c r="D204" s="177"/>
      <c r="E204" s="176"/>
      <c r="F204" s="177"/>
      <c r="G204" s="178"/>
      <c r="H204" s="178"/>
      <c r="I204" s="250"/>
      <c r="J204" s="177"/>
      <c r="K204" s="250"/>
      <c r="L204" s="177"/>
    </row>
    <row r="205" spans="1:12" ht="15">
      <c r="A205" s="175"/>
      <c r="B205" s="82"/>
      <c r="C205" s="177"/>
      <c r="D205" s="177"/>
      <c r="E205" s="176"/>
      <c r="F205" s="177"/>
      <c r="G205" s="178"/>
      <c r="H205" s="178"/>
      <c r="I205" s="250"/>
      <c r="J205" s="177"/>
      <c r="K205" s="250"/>
      <c r="L205" s="177"/>
    </row>
    <row r="206" spans="1:12" ht="15">
      <c r="A206" s="175"/>
      <c r="B206" s="82"/>
      <c r="C206" s="177"/>
      <c r="D206" s="177"/>
      <c r="E206" s="176"/>
      <c r="F206" s="177"/>
      <c r="G206" s="178"/>
      <c r="H206" s="178"/>
      <c r="I206" s="250"/>
      <c r="J206" s="177"/>
      <c r="K206" s="250"/>
      <c r="L206" s="177"/>
    </row>
    <row r="207" spans="1:12" ht="15">
      <c r="A207" s="175"/>
      <c r="B207" s="82"/>
      <c r="C207" s="177"/>
      <c r="D207" s="177"/>
      <c r="E207" s="176"/>
      <c r="F207" s="177"/>
      <c r="G207" s="178"/>
      <c r="H207" s="178"/>
      <c r="I207" s="250"/>
      <c r="J207" s="177"/>
      <c r="K207" s="250"/>
      <c r="L207" s="177"/>
    </row>
    <row r="208" spans="1:12" ht="15">
      <c r="A208" s="175"/>
      <c r="B208" s="82"/>
      <c r="C208" s="177"/>
      <c r="D208" s="177"/>
      <c r="E208" s="176"/>
      <c r="F208" s="177"/>
      <c r="G208" s="178"/>
      <c r="H208" s="178"/>
      <c r="I208" s="250"/>
      <c r="J208" s="177"/>
      <c r="K208" s="250"/>
      <c r="L208" s="177"/>
    </row>
    <row r="209" spans="1:12" ht="15">
      <c r="A209" s="175"/>
      <c r="B209" s="82"/>
      <c r="C209" s="177"/>
      <c r="D209" s="177"/>
      <c r="E209" s="176"/>
      <c r="F209" s="177"/>
      <c r="G209" s="178"/>
      <c r="H209" s="178"/>
      <c r="I209" s="250"/>
      <c r="J209" s="177"/>
      <c r="K209" s="250"/>
      <c r="L209" s="177"/>
    </row>
    <row r="210" spans="1:12" ht="15">
      <c r="A210" s="175"/>
      <c r="B210" s="82"/>
      <c r="C210" s="177"/>
      <c r="D210" s="177"/>
      <c r="E210" s="176"/>
      <c r="F210" s="177"/>
      <c r="G210" s="178"/>
      <c r="H210" s="178"/>
      <c r="I210" s="250"/>
      <c r="J210" s="177"/>
      <c r="K210" s="250"/>
      <c r="L210" s="177"/>
    </row>
    <row r="211" spans="1:12" ht="15">
      <c r="A211" s="175"/>
      <c r="B211" s="82"/>
      <c r="C211" s="177"/>
      <c r="D211" s="177"/>
      <c r="E211" s="176"/>
      <c r="F211" s="177"/>
      <c r="G211" s="178"/>
      <c r="H211" s="178"/>
      <c r="I211" s="250"/>
      <c r="J211" s="177"/>
      <c r="K211" s="250"/>
      <c r="L211" s="177"/>
    </row>
    <row r="212" spans="1:12" ht="15">
      <c r="A212" s="175"/>
      <c r="B212" s="82"/>
      <c r="C212" s="177"/>
      <c r="D212" s="177"/>
      <c r="E212" s="176"/>
      <c r="F212" s="177"/>
      <c r="G212" s="178"/>
      <c r="H212" s="178"/>
      <c r="I212" s="250"/>
      <c r="J212" s="177"/>
      <c r="K212" s="250"/>
      <c r="L212" s="177"/>
    </row>
    <row r="213" spans="1:12" ht="15">
      <c r="A213" s="175"/>
      <c r="B213" s="82"/>
      <c r="C213" s="177"/>
      <c r="D213" s="177"/>
      <c r="E213" s="176"/>
      <c r="F213" s="177"/>
      <c r="G213" s="178"/>
      <c r="H213" s="178"/>
      <c r="I213" s="250"/>
      <c r="J213" s="177"/>
      <c r="K213" s="250"/>
      <c r="L213" s="177"/>
    </row>
    <row r="214" spans="1:12" ht="15">
      <c r="A214" s="175"/>
      <c r="B214" s="82"/>
      <c r="C214" s="177"/>
      <c r="D214" s="177"/>
      <c r="E214" s="176"/>
      <c r="F214" s="177"/>
      <c r="G214" s="178"/>
      <c r="H214" s="178"/>
      <c r="I214" s="250"/>
      <c r="J214" s="177"/>
      <c r="K214" s="250"/>
      <c r="L214" s="177"/>
    </row>
    <row r="215" spans="1:12" ht="15">
      <c r="A215" s="175"/>
      <c r="B215" s="82"/>
      <c r="C215" s="177"/>
      <c r="D215" s="177"/>
      <c r="E215" s="176"/>
      <c r="F215" s="177"/>
      <c r="G215" s="178"/>
      <c r="H215" s="178"/>
      <c r="I215" s="250"/>
      <c r="J215" s="177"/>
      <c r="K215" s="250"/>
      <c r="L215" s="177"/>
    </row>
    <row r="216" spans="1:12" ht="15">
      <c r="A216" s="175"/>
      <c r="B216" s="82"/>
      <c r="C216" s="177"/>
      <c r="D216" s="177"/>
      <c r="E216" s="176"/>
      <c r="F216" s="177"/>
      <c r="G216" s="178"/>
      <c r="H216" s="178"/>
      <c r="I216" s="250"/>
      <c r="J216" s="177"/>
      <c r="K216" s="250"/>
      <c r="L216" s="177"/>
    </row>
    <row r="217" spans="1:12" ht="15">
      <c r="A217" s="175"/>
      <c r="B217" s="82"/>
      <c r="C217" s="177"/>
      <c r="D217" s="177"/>
      <c r="E217" s="176"/>
      <c r="F217" s="177"/>
      <c r="G217" s="178"/>
      <c r="H217" s="178"/>
      <c r="I217" s="250"/>
      <c r="J217" s="177"/>
      <c r="K217" s="250"/>
      <c r="L217" s="177"/>
    </row>
    <row r="218" spans="1:12" ht="15">
      <c r="A218" s="175"/>
      <c r="B218" s="82"/>
      <c r="C218" s="177"/>
      <c r="D218" s="177"/>
      <c r="E218" s="176"/>
      <c r="F218" s="177"/>
      <c r="G218" s="178"/>
      <c r="H218" s="178"/>
      <c r="I218" s="250"/>
      <c r="J218" s="177"/>
      <c r="K218" s="250"/>
      <c r="L218" s="177"/>
    </row>
    <row r="219" spans="1:12" ht="15">
      <c r="A219" s="175"/>
      <c r="B219" s="82"/>
      <c r="C219" s="177"/>
      <c r="D219" s="177"/>
      <c r="E219" s="176"/>
      <c r="F219" s="177"/>
      <c r="G219" s="178"/>
      <c r="H219" s="178"/>
      <c r="I219" s="250"/>
      <c r="J219" s="177"/>
      <c r="K219" s="250"/>
      <c r="L219" s="177"/>
    </row>
    <row r="220" spans="1:12" ht="15">
      <c r="A220" s="175"/>
      <c r="B220" s="82"/>
      <c r="C220" s="177"/>
      <c r="D220" s="177"/>
      <c r="E220" s="176"/>
      <c r="F220" s="177"/>
      <c r="G220" s="178"/>
      <c r="H220" s="178"/>
      <c r="I220" s="250"/>
      <c r="J220" s="177"/>
      <c r="K220" s="250"/>
      <c r="L220" s="177"/>
    </row>
    <row r="221" spans="1:12" ht="15">
      <c r="A221" s="175"/>
      <c r="B221" s="82"/>
      <c r="C221" s="177"/>
      <c r="D221" s="177"/>
      <c r="E221" s="176"/>
      <c r="F221" s="177"/>
      <c r="G221" s="178"/>
      <c r="H221" s="178"/>
      <c r="I221" s="250"/>
      <c r="J221" s="177"/>
      <c r="K221" s="250"/>
      <c r="L221" s="177"/>
    </row>
    <row r="222" spans="1:12" ht="15">
      <c r="A222" s="175"/>
      <c r="B222" s="82"/>
      <c r="C222" s="177"/>
      <c r="D222" s="177"/>
      <c r="E222" s="176"/>
      <c r="F222" s="177"/>
      <c r="G222" s="178"/>
      <c r="H222" s="178"/>
      <c r="I222" s="250"/>
      <c r="J222" s="177"/>
      <c r="K222" s="250"/>
      <c r="L222" s="177"/>
    </row>
    <row r="223" spans="1:12" ht="15">
      <c r="A223" s="175"/>
      <c r="B223" s="82"/>
      <c r="C223" s="177"/>
      <c r="D223" s="177"/>
      <c r="E223" s="176"/>
      <c r="F223" s="177"/>
      <c r="G223" s="178"/>
      <c r="H223" s="178"/>
      <c r="I223" s="250"/>
      <c r="J223" s="177"/>
      <c r="K223" s="250"/>
      <c r="L223" s="177"/>
    </row>
    <row r="224" spans="1:12" ht="15">
      <c r="A224" s="175"/>
      <c r="B224" s="82"/>
      <c r="C224" s="177"/>
      <c r="D224" s="177"/>
      <c r="E224" s="176"/>
      <c r="F224" s="177"/>
      <c r="G224" s="178"/>
      <c r="H224" s="178"/>
      <c r="I224" s="250"/>
      <c r="J224" s="177"/>
      <c r="K224" s="250"/>
      <c r="L224" s="177"/>
    </row>
    <row r="225" spans="1:12" ht="15">
      <c r="A225" s="175"/>
      <c r="B225" s="82"/>
      <c r="C225" s="177"/>
      <c r="D225" s="177"/>
      <c r="E225" s="176"/>
      <c r="F225" s="177"/>
      <c r="G225" s="178"/>
      <c r="H225" s="178"/>
      <c r="I225" s="250"/>
      <c r="J225" s="177"/>
      <c r="K225" s="250"/>
      <c r="L225" s="177"/>
    </row>
    <row r="226" spans="1:12" ht="15">
      <c r="A226" s="175"/>
      <c r="B226" s="82"/>
      <c r="C226" s="177"/>
      <c r="D226" s="177"/>
      <c r="E226" s="176"/>
      <c r="F226" s="177"/>
      <c r="G226" s="178"/>
      <c r="H226" s="178"/>
      <c r="I226" s="250"/>
      <c r="J226" s="177"/>
      <c r="K226" s="250"/>
      <c r="L226" s="177"/>
    </row>
    <row r="227" spans="1:12" ht="15">
      <c r="A227" s="175"/>
      <c r="B227" s="82"/>
      <c r="C227" s="177"/>
      <c r="D227" s="177"/>
      <c r="E227" s="176"/>
      <c r="F227" s="177"/>
      <c r="G227" s="178"/>
      <c r="H227" s="178"/>
      <c r="I227" s="250"/>
      <c r="J227" s="177"/>
      <c r="K227" s="250"/>
      <c r="L227" s="177"/>
    </row>
    <row r="228" spans="1:12" ht="15">
      <c r="A228" s="175"/>
      <c r="B228" s="82"/>
      <c r="C228" s="177"/>
      <c r="D228" s="177"/>
      <c r="E228" s="176"/>
      <c r="F228" s="177"/>
      <c r="G228" s="178"/>
      <c r="H228" s="178"/>
      <c r="I228" s="250"/>
      <c r="J228" s="177"/>
      <c r="K228" s="250"/>
      <c r="L228" s="177"/>
    </row>
    <row r="229" spans="1:12" ht="15">
      <c r="A229" s="175"/>
      <c r="B229" s="82"/>
      <c r="C229" s="177"/>
      <c r="D229" s="177"/>
      <c r="E229" s="176"/>
      <c r="F229" s="177"/>
      <c r="G229" s="178"/>
      <c r="H229" s="178"/>
      <c r="I229" s="250"/>
      <c r="J229" s="177"/>
      <c r="K229" s="250"/>
      <c r="L229" s="177"/>
    </row>
    <row r="230" spans="1:12" ht="15">
      <c r="A230" s="175"/>
      <c r="B230" s="82"/>
      <c r="C230" s="177"/>
      <c r="D230" s="177"/>
      <c r="E230" s="176"/>
      <c r="F230" s="177"/>
      <c r="G230" s="178"/>
      <c r="H230" s="178"/>
      <c r="I230" s="250"/>
      <c r="J230" s="177"/>
      <c r="K230" s="250"/>
      <c r="L230" s="177"/>
    </row>
    <row r="231" spans="1:12" ht="15">
      <c r="A231" s="175"/>
      <c r="B231" s="82"/>
      <c r="C231" s="177"/>
      <c r="D231" s="177"/>
      <c r="E231" s="176"/>
      <c r="F231" s="177"/>
      <c r="G231" s="178"/>
      <c r="H231" s="178"/>
      <c r="I231" s="250"/>
      <c r="J231" s="177"/>
      <c r="K231" s="250"/>
      <c r="L231" s="177"/>
    </row>
    <row r="232" spans="1:12" ht="15">
      <c r="A232" s="175"/>
      <c r="B232" s="82"/>
      <c r="C232" s="177"/>
      <c r="D232" s="177"/>
      <c r="E232" s="176"/>
      <c r="F232" s="177"/>
      <c r="G232" s="178"/>
      <c r="H232" s="178"/>
      <c r="I232" s="250"/>
      <c r="J232" s="177"/>
      <c r="K232" s="250"/>
      <c r="L232" s="177"/>
    </row>
    <row r="233" spans="1:12" ht="15">
      <c r="A233" s="175"/>
      <c r="B233" s="82"/>
      <c r="C233" s="177"/>
      <c r="D233" s="177"/>
      <c r="E233" s="176"/>
      <c r="F233" s="177"/>
      <c r="G233" s="178"/>
      <c r="H233" s="178"/>
      <c r="I233" s="250"/>
      <c r="J233" s="177"/>
      <c r="K233" s="250"/>
      <c r="L233" s="177"/>
    </row>
    <row r="234" spans="1:12" ht="15">
      <c r="A234" s="175"/>
      <c r="B234" s="82"/>
      <c r="C234" s="177"/>
      <c r="D234" s="177"/>
      <c r="E234" s="176"/>
      <c r="F234" s="177"/>
      <c r="G234" s="178"/>
      <c r="H234" s="178"/>
      <c r="I234" s="250"/>
      <c r="J234" s="177"/>
      <c r="K234" s="250"/>
      <c r="L234" s="177"/>
    </row>
    <row r="235" spans="1:12" ht="15">
      <c r="A235" s="175"/>
      <c r="B235" s="82"/>
      <c r="C235" s="177"/>
      <c r="D235" s="177"/>
      <c r="E235" s="176"/>
      <c r="F235" s="177"/>
      <c r="G235" s="178"/>
      <c r="H235" s="178"/>
      <c r="I235" s="250"/>
      <c r="J235" s="177"/>
      <c r="K235" s="250"/>
      <c r="L235" s="177"/>
    </row>
    <row r="236" spans="1:12" ht="15">
      <c r="A236" s="175"/>
      <c r="B236" s="82"/>
      <c r="C236" s="177"/>
      <c r="D236" s="177"/>
      <c r="E236" s="176"/>
      <c r="F236" s="177"/>
      <c r="G236" s="178"/>
      <c r="H236" s="178"/>
      <c r="I236" s="250"/>
      <c r="J236" s="177"/>
      <c r="K236" s="250"/>
      <c r="L236" s="177"/>
    </row>
    <row r="237" spans="1:12" ht="15">
      <c r="A237" s="175"/>
      <c r="B237" s="82"/>
      <c r="C237" s="177"/>
      <c r="D237" s="177"/>
      <c r="E237" s="176"/>
      <c r="F237" s="177"/>
      <c r="G237" s="178"/>
      <c r="H237" s="178"/>
      <c r="I237" s="250"/>
      <c r="J237" s="177"/>
      <c r="K237" s="250"/>
      <c r="L237" s="177"/>
    </row>
    <row r="238" spans="1:12" ht="15">
      <c r="A238" s="175"/>
      <c r="B238" s="82"/>
      <c r="C238" s="177"/>
      <c r="D238" s="177"/>
      <c r="E238" s="176"/>
      <c r="F238" s="177"/>
      <c r="G238" s="178"/>
      <c r="H238" s="178"/>
      <c r="I238" s="250"/>
      <c r="J238" s="177"/>
      <c r="K238" s="250"/>
      <c r="L238" s="177"/>
    </row>
    <row r="239" spans="1:12" ht="15">
      <c r="A239" s="175"/>
      <c r="B239" s="82"/>
      <c r="C239" s="177"/>
      <c r="D239" s="177"/>
      <c r="E239" s="176"/>
      <c r="F239" s="177"/>
      <c r="G239" s="178"/>
      <c r="H239" s="178"/>
      <c r="I239" s="250"/>
      <c r="J239" s="177"/>
      <c r="K239" s="250"/>
      <c r="L239" s="177"/>
    </row>
    <row r="240" spans="1:12" ht="15">
      <c r="A240" s="175"/>
      <c r="B240" s="82"/>
      <c r="C240" s="177"/>
      <c r="D240" s="177"/>
      <c r="E240" s="176"/>
      <c r="F240" s="177"/>
      <c r="G240" s="178"/>
      <c r="H240" s="178"/>
      <c r="I240" s="250"/>
      <c r="J240" s="177"/>
      <c r="K240" s="250"/>
      <c r="L240" s="177"/>
    </row>
    <row r="241" spans="1:12" ht="15">
      <c r="A241" s="175"/>
      <c r="B241" s="82"/>
      <c r="C241" s="177"/>
      <c r="D241" s="177"/>
      <c r="E241" s="176"/>
      <c r="F241" s="177"/>
      <c r="G241" s="178"/>
      <c r="H241" s="178"/>
      <c r="I241" s="250"/>
      <c r="J241" s="177"/>
      <c r="K241" s="250"/>
      <c r="L241" s="177"/>
    </row>
    <row r="242" spans="1:12" ht="15">
      <c r="A242" s="175"/>
      <c r="B242" s="82"/>
      <c r="C242" s="177"/>
      <c r="D242" s="177"/>
      <c r="E242" s="176"/>
      <c r="F242" s="177"/>
      <c r="G242" s="178"/>
      <c r="H242" s="178"/>
      <c r="I242" s="250"/>
      <c r="J242" s="177"/>
      <c r="K242" s="250"/>
      <c r="L242" s="177"/>
    </row>
    <row r="243" spans="1:12" ht="15">
      <c r="A243" s="175"/>
      <c r="B243" s="82"/>
      <c r="C243" s="177"/>
      <c r="D243" s="177"/>
      <c r="E243" s="176"/>
      <c r="F243" s="177"/>
      <c r="G243" s="178"/>
      <c r="H243" s="178"/>
      <c r="I243" s="250"/>
      <c r="J243" s="177"/>
      <c r="K243" s="250"/>
      <c r="L243" s="177"/>
    </row>
    <row r="244" spans="1:12" ht="15">
      <c r="A244" s="175"/>
      <c r="B244" s="82"/>
      <c r="C244" s="177"/>
      <c r="D244" s="177"/>
      <c r="E244" s="176"/>
      <c r="F244" s="177"/>
      <c r="G244" s="178"/>
      <c r="H244" s="178"/>
      <c r="I244" s="250"/>
      <c r="J244" s="177"/>
      <c r="K244" s="250"/>
      <c r="L244" s="177"/>
    </row>
    <row r="245" spans="1:12" ht="15">
      <c r="A245" s="175"/>
      <c r="B245" s="82"/>
      <c r="C245" s="177"/>
      <c r="D245" s="177"/>
      <c r="E245" s="176"/>
      <c r="F245" s="177"/>
      <c r="G245" s="178"/>
      <c r="H245" s="178"/>
      <c r="I245" s="250"/>
      <c r="J245" s="177"/>
      <c r="K245" s="250"/>
      <c r="L245" s="177"/>
    </row>
    <row r="246" spans="1:12" ht="15">
      <c r="A246" s="175"/>
      <c r="B246" s="82"/>
      <c r="C246" s="177"/>
      <c r="D246" s="177"/>
      <c r="E246" s="176"/>
      <c r="F246" s="177"/>
      <c r="G246" s="178"/>
      <c r="H246" s="178"/>
      <c r="I246" s="250"/>
      <c r="J246" s="177"/>
      <c r="K246" s="250"/>
      <c r="L246" s="177"/>
    </row>
    <row r="247" spans="1:12" ht="15">
      <c r="A247" s="175"/>
      <c r="B247" s="82"/>
      <c r="C247" s="177"/>
      <c r="D247" s="177"/>
      <c r="E247" s="176"/>
      <c r="F247" s="177"/>
      <c r="G247" s="178"/>
      <c r="H247" s="178"/>
      <c r="I247" s="250"/>
      <c r="J247" s="177"/>
      <c r="K247" s="250"/>
      <c r="L247" s="177"/>
    </row>
    <row r="248" spans="1:12" ht="15">
      <c r="A248" s="175"/>
      <c r="B248" s="82"/>
      <c r="C248" s="177"/>
      <c r="D248" s="177"/>
      <c r="E248" s="176"/>
      <c r="F248" s="177"/>
      <c r="G248" s="178"/>
      <c r="H248" s="178"/>
      <c r="I248" s="250"/>
      <c r="J248" s="177"/>
      <c r="K248" s="250"/>
      <c r="L248" s="177"/>
    </row>
    <row r="249" spans="1:12" ht="15">
      <c r="A249" s="175"/>
      <c r="B249" s="82"/>
      <c r="C249" s="177"/>
      <c r="D249" s="177"/>
      <c r="E249" s="176"/>
      <c r="F249" s="177"/>
      <c r="G249" s="178"/>
      <c r="H249" s="178"/>
      <c r="I249" s="250"/>
      <c r="J249" s="177"/>
      <c r="K249" s="250"/>
      <c r="L249" s="177"/>
    </row>
    <row r="250" spans="1:12" ht="15">
      <c r="A250" s="175"/>
      <c r="B250" s="82"/>
      <c r="C250" s="177"/>
      <c r="D250" s="177"/>
      <c r="E250" s="176"/>
      <c r="F250" s="177"/>
      <c r="G250" s="178"/>
      <c r="H250" s="178"/>
      <c r="I250" s="250"/>
      <c r="J250" s="177"/>
      <c r="K250" s="250"/>
      <c r="L250" s="177"/>
    </row>
    <row r="251" spans="1:12" ht="15">
      <c r="A251" s="175"/>
      <c r="B251" s="82"/>
      <c r="C251" s="177"/>
      <c r="D251" s="177"/>
      <c r="E251" s="176"/>
      <c r="F251" s="177"/>
      <c r="G251" s="178"/>
      <c r="H251" s="178"/>
      <c r="I251" s="250"/>
      <c r="J251" s="177"/>
      <c r="K251" s="250"/>
      <c r="L251" s="177"/>
    </row>
    <row r="252" spans="1:12" ht="15">
      <c r="A252" s="175"/>
      <c r="B252" s="82"/>
      <c r="C252" s="177"/>
      <c r="D252" s="177"/>
      <c r="E252" s="176"/>
      <c r="F252" s="177"/>
      <c r="G252" s="178"/>
      <c r="H252" s="178"/>
      <c r="I252" s="250"/>
      <c r="J252" s="177"/>
      <c r="K252" s="250"/>
      <c r="L252" s="177"/>
    </row>
    <row r="253" spans="1:12" ht="15">
      <c r="A253" s="175"/>
      <c r="B253" s="82"/>
      <c r="C253" s="177"/>
      <c r="D253" s="177"/>
      <c r="E253" s="176"/>
      <c r="F253" s="177"/>
      <c r="G253" s="178"/>
      <c r="H253" s="178"/>
      <c r="I253" s="250"/>
      <c r="J253" s="177"/>
      <c r="K253" s="250"/>
      <c r="L253" s="177"/>
    </row>
    <row r="254" spans="1:12" ht="15">
      <c r="A254" s="175"/>
      <c r="B254" s="82"/>
      <c r="C254" s="177"/>
      <c r="D254" s="177"/>
      <c r="E254" s="176"/>
      <c r="F254" s="177"/>
      <c r="G254" s="178"/>
      <c r="H254" s="178"/>
      <c r="I254" s="250"/>
      <c r="J254" s="177"/>
      <c r="K254" s="250"/>
      <c r="L254" s="177"/>
    </row>
    <row r="255" spans="1:12" ht="15">
      <c r="A255" s="175"/>
      <c r="B255" s="82"/>
      <c r="C255" s="177"/>
      <c r="D255" s="177"/>
      <c r="E255" s="176"/>
      <c r="F255" s="177"/>
      <c r="G255" s="178"/>
      <c r="H255" s="178"/>
      <c r="I255" s="250"/>
      <c r="J255" s="177"/>
      <c r="K255" s="250"/>
      <c r="L255" s="177"/>
    </row>
    <row r="256" spans="1:12" ht="15">
      <c r="A256" s="175"/>
      <c r="B256" s="82"/>
      <c r="C256" s="177"/>
      <c r="D256" s="177"/>
      <c r="E256" s="176"/>
      <c r="F256" s="177"/>
      <c r="G256" s="178"/>
      <c r="H256" s="178"/>
      <c r="I256" s="250"/>
      <c r="J256" s="177"/>
      <c r="K256" s="250"/>
      <c r="L256" s="177"/>
    </row>
    <row r="257" spans="1:12" ht="15">
      <c r="A257" s="175"/>
      <c r="B257" s="82"/>
      <c r="C257" s="177"/>
      <c r="D257" s="177"/>
      <c r="E257" s="176"/>
      <c r="F257" s="177"/>
      <c r="G257" s="178"/>
      <c r="H257" s="178"/>
      <c r="I257" s="250"/>
      <c r="J257" s="177"/>
      <c r="K257" s="250"/>
      <c r="L257" s="177"/>
    </row>
    <row r="258" spans="1:12" ht="15">
      <c r="A258" s="175"/>
      <c r="B258" s="82"/>
      <c r="C258" s="177"/>
      <c r="D258" s="177"/>
      <c r="E258" s="176"/>
      <c r="F258" s="177"/>
      <c r="G258" s="178"/>
      <c r="H258" s="178"/>
      <c r="I258" s="250"/>
      <c r="J258" s="177"/>
      <c r="K258" s="250"/>
      <c r="L258" s="177"/>
    </row>
    <row r="259" spans="1:12" ht="15">
      <c r="A259" s="175"/>
      <c r="B259" s="82"/>
      <c r="C259" s="177"/>
      <c r="D259" s="177"/>
      <c r="E259" s="176"/>
      <c r="F259" s="177"/>
      <c r="G259" s="178"/>
      <c r="H259" s="178"/>
      <c r="I259" s="250"/>
      <c r="J259" s="177"/>
      <c r="K259" s="250"/>
      <c r="L259" s="177"/>
    </row>
    <row r="260" spans="1:12" ht="15">
      <c r="A260" s="175"/>
      <c r="B260" s="82"/>
      <c r="C260" s="177"/>
      <c r="D260" s="177"/>
      <c r="E260" s="176"/>
      <c r="F260" s="177"/>
      <c r="G260" s="178"/>
      <c r="H260" s="178"/>
      <c r="I260" s="250"/>
      <c r="J260" s="177"/>
      <c r="K260" s="250"/>
      <c r="L260" s="177"/>
    </row>
    <row r="261" spans="1:12" ht="15">
      <c r="A261" s="175"/>
      <c r="B261" s="82"/>
      <c r="C261" s="177"/>
      <c r="D261" s="177"/>
      <c r="E261" s="176"/>
      <c r="F261" s="177"/>
      <c r="G261" s="178"/>
      <c r="H261" s="178"/>
      <c r="I261" s="250"/>
      <c r="J261" s="177"/>
      <c r="K261" s="250"/>
      <c r="L261" s="177"/>
    </row>
    <row r="262" spans="1:12" ht="15">
      <c r="A262" s="175"/>
      <c r="B262" s="82"/>
      <c r="C262" s="177"/>
      <c r="D262" s="177"/>
      <c r="E262" s="176"/>
      <c r="F262" s="177"/>
      <c r="G262" s="178"/>
      <c r="H262" s="178"/>
      <c r="I262" s="250"/>
      <c r="J262" s="177"/>
      <c r="K262" s="250"/>
      <c r="L262" s="177"/>
    </row>
    <row r="263" spans="1:12" ht="15">
      <c r="A263" s="175"/>
      <c r="B263" s="82"/>
      <c r="C263" s="177"/>
      <c r="D263" s="177"/>
      <c r="E263" s="176"/>
      <c r="F263" s="177"/>
      <c r="G263" s="178"/>
      <c r="H263" s="178"/>
      <c r="I263" s="250"/>
      <c r="J263" s="177"/>
      <c r="K263" s="250"/>
      <c r="L263" s="177"/>
    </row>
    <row r="264" spans="1:12" ht="15">
      <c r="A264" s="175"/>
      <c r="B264" s="82"/>
      <c r="C264" s="177"/>
      <c r="D264" s="177"/>
      <c r="E264" s="176"/>
      <c r="F264" s="177"/>
      <c r="G264" s="178"/>
      <c r="H264" s="178"/>
      <c r="I264" s="250"/>
      <c r="J264" s="177"/>
      <c r="K264" s="250"/>
      <c r="L264" s="177"/>
    </row>
    <row r="265" spans="1:12" ht="15">
      <c r="A265" s="175"/>
      <c r="B265" s="82"/>
      <c r="C265" s="177"/>
      <c r="D265" s="177"/>
      <c r="E265" s="176"/>
      <c r="F265" s="177"/>
      <c r="G265" s="178"/>
      <c r="H265" s="178"/>
      <c r="I265" s="250"/>
      <c r="J265" s="177"/>
      <c r="K265" s="250"/>
      <c r="L265" s="177"/>
    </row>
    <row r="266" spans="1:12" ht="15">
      <c r="A266" s="175"/>
      <c r="B266" s="82"/>
      <c r="C266" s="177"/>
      <c r="D266" s="177"/>
      <c r="E266" s="176"/>
      <c r="F266" s="177"/>
      <c r="G266" s="178"/>
      <c r="H266" s="178"/>
      <c r="I266" s="250"/>
      <c r="J266" s="177"/>
      <c r="K266" s="250"/>
      <c r="L266" s="177"/>
    </row>
    <row r="267" spans="1:12" ht="15">
      <c r="A267" s="175"/>
      <c r="B267" s="82"/>
      <c r="C267" s="177"/>
      <c r="D267" s="177"/>
      <c r="E267" s="176"/>
      <c r="F267" s="177"/>
      <c r="G267" s="178"/>
      <c r="H267" s="178"/>
      <c r="I267" s="250"/>
      <c r="J267" s="177"/>
      <c r="K267" s="250"/>
      <c r="L267" s="177"/>
    </row>
    <row r="268" spans="1:12" ht="15">
      <c r="A268" s="175"/>
      <c r="B268" s="82"/>
      <c r="C268" s="177"/>
      <c r="D268" s="177"/>
      <c r="E268" s="176"/>
      <c r="F268" s="177"/>
      <c r="G268" s="178"/>
      <c r="H268" s="178"/>
      <c r="I268" s="250"/>
      <c r="J268" s="177"/>
      <c r="K268" s="250"/>
      <c r="L268" s="177"/>
    </row>
    <row r="269" spans="1:12" ht="15">
      <c r="A269" s="175"/>
      <c r="B269" s="82"/>
      <c r="C269" s="177"/>
      <c r="D269" s="177"/>
      <c r="E269" s="176"/>
      <c r="F269" s="177"/>
      <c r="G269" s="178"/>
      <c r="H269" s="178"/>
      <c r="I269" s="250"/>
      <c r="J269" s="177"/>
      <c r="K269" s="250"/>
      <c r="L269" s="177"/>
    </row>
    <row r="270" spans="1:12" ht="15">
      <c r="A270" s="175"/>
      <c r="B270" s="82"/>
      <c r="C270" s="177"/>
      <c r="D270" s="177"/>
      <c r="E270" s="176"/>
      <c r="F270" s="177"/>
      <c r="G270" s="178"/>
      <c r="H270" s="178"/>
      <c r="I270" s="250"/>
      <c r="J270" s="177"/>
      <c r="K270" s="250"/>
      <c r="L270" s="177"/>
    </row>
    <row r="271" spans="1:12" ht="15">
      <c r="A271" s="175"/>
      <c r="B271" s="82"/>
      <c r="C271" s="177"/>
      <c r="D271" s="177"/>
      <c r="E271" s="176"/>
      <c r="F271" s="177"/>
      <c r="G271" s="178"/>
      <c r="H271" s="178"/>
      <c r="I271" s="250"/>
      <c r="J271" s="177"/>
      <c r="K271" s="250"/>
      <c r="L271" s="177"/>
    </row>
    <row r="272" spans="1:12" ht="15">
      <c r="A272" s="175"/>
      <c r="B272" s="82"/>
      <c r="C272" s="177"/>
      <c r="D272" s="177"/>
      <c r="E272" s="176"/>
      <c r="F272" s="177"/>
      <c r="G272" s="178"/>
      <c r="H272" s="178"/>
      <c r="I272" s="250"/>
      <c r="J272" s="177"/>
      <c r="K272" s="250"/>
      <c r="L272" s="177"/>
    </row>
    <row r="273" spans="1:12" ht="15">
      <c r="A273" s="175"/>
      <c r="B273" s="82"/>
      <c r="C273" s="177"/>
      <c r="D273" s="177"/>
      <c r="E273" s="176"/>
      <c r="F273" s="177"/>
      <c r="G273" s="178"/>
      <c r="H273" s="178"/>
      <c r="I273" s="250"/>
      <c r="J273" s="177"/>
      <c r="K273" s="250"/>
      <c r="L273" s="177"/>
    </row>
    <row r="274" spans="1:12" ht="15">
      <c r="A274" s="175"/>
      <c r="B274" s="82"/>
      <c r="C274" s="177"/>
      <c r="D274" s="177"/>
      <c r="E274" s="176"/>
      <c r="F274" s="177"/>
      <c r="G274" s="178"/>
      <c r="H274" s="178"/>
      <c r="I274" s="250"/>
      <c r="J274" s="177"/>
      <c r="K274" s="250"/>
      <c r="L274" s="177"/>
    </row>
    <row r="275" spans="1:12" ht="15">
      <c r="A275" s="175"/>
      <c r="B275" s="82"/>
      <c r="C275" s="177"/>
      <c r="D275" s="177"/>
      <c r="E275" s="176"/>
      <c r="F275" s="177"/>
      <c r="G275" s="178"/>
      <c r="H275" s="178"/>
      <c r="I275" s="250"/>
      <c r="J275" s="177"/>
      <c r="K275" s="250"/>
      <c r="L275" s="177"/>
    </row>
    <row r="276" spans="1:12" ht="15">
      <c r="A276" s="175"/>
      <c r="B276" s="82"/>
      <c r="C276" s="177"/>
      <c r="D276" s="177"/>
      <c r="E276" s="176"/>
      <c r="F276" s="177"/>
      <c r="G276" s="178"/>
      <c r="H276" s="178"/>
      <c r="I276" s="250"/>
      <c r="J276" s="177"/>
      <c r="K276" s="250"/>
      <c r="L276" s="177"/>
    </row>
    <row r="277" spans="1:12" ht="15">
      <c r="A277" s="175"/>
      <c r="B277" s="82"/>
      <c r="C277" s="177"/>
      <c r="D277" s="177"/>
      <c r="E277" s="176"/>
      <c r="F277" s="177"/>
      <c r="G277" s="178"/>
      <c r="H277" s="178"/>
      <c r="I277" s="250"/>
      <c r="J277" s="177"/>
      <c r="K277" s="250"/>
      <c r="L277" s="177"/>
    </row>
    <row r="278" spans="1:12" ht="15">
      <c r="A278" s="175"/>
      <c r="B278" s="82"/>
      <c r="C278" s="177"/>
      <c r="D278" s="177"/>
      <c r="E278" s="176"/>
      <c r="F278" s="177"/>
      <c r="G278" s="178"/>
      <c r="H278" s="178"/>
      <c r="I278" s="250"/>
      <c r="J278" s="177"/>
      <c r="K278" s="250"/>
      <c r="L278" s="177"/>
    </row>
    <row r="279" spans="1:12" ht="15">
      <c r="A279" s="175"/>
      <c r="B279" s="82"/>
      <c r="C279" s="177"/>
      <c r="D279" s="177"/>
      <c r="E279" s="176"/>
      <c r="F279" s="177"/>
      <c r="G279" s="178"/>
      <c r="H279" s="178"/>
      <c r="I279" s="250"/>
      <c r="J279" s="177"/>
      <c r="K279" s="250"/>
      <c r="L279" s="177"/>
    </row>
    <row r="280" spans="1:12" ht="15">
      <c r="A280" s="175"/>
      <c r="B280" s="82"/>
      <c r="C280" s="177"/>
      <c r="D280" s="177"/>
      <c r="E280" s="176"/>
      <c r="F280" s="177"/>
      <c r="G280" s="178"/>
      <c r="H280" s="178"/>
      <c r="I280" s="250"/>
      <c r="J280" s="177"/>
      <c r="K280" s="250"/>
      <c r="L280" s="177"/>
    </row>
    <row r="281" spans="1:12" ht="15">
      <c r="A281" s="175"/>
      <c r="B281" s="82"/>
      <c r="C281" s="177"/>
      <c r="D281" s="177"/>
      <c r="E281" s="176"/>
      <c r="F281" s="177"/>
      <c r="G281" s="178"/>
      <c r="H281" s="178"/>
      <c r="I281" s="250"/>
      <c r="J281" s="177"/>
      <c r="K281" s="250"/>
      <c r="L281" s="177"/>
    </row>
    <row r="282" spans="1:12" ht="15">
      <c r="A282" s="175"/>
      <c r="B282" s="82"/>
      <c r="C282" s="177"/>
      <c r="D282" s="177"/>
      <c r="E282" s="176"/>
      <c r="F282" s="177"/>
      <c r="G282" s="178"/>
      <c r="H282" s="178"/>
      <c r="I282" s="250"/>
      <c r="J282" s="177"/>
      <c r="K282" s="250"/>
      <c r="L282" s="177"/>
    </row>
    <row r="283" spans="1:12" ht="15">
      <c r="A283" s="175"/>
      <c r="B283" s="82"/>
      <c r="C283" s="177"/>
      <c r="D283" s="177"/>
      <c r="E283" s="176"/>
      <c r="F283" s="177"/>
      <c r="G283" s="178"/>
      <c r="H283" s="178"/>
      <c r="I283" s="250"/>
      <c r="J283" s="177"/>
      <c r="K283" s="250"/>
      <c r="L283" s="177"/>
    </row>
    <row r="284" spans="1:12" ht="15">
      <c r="A284" s="175"/>
      <c r="B284" s="82"/>
      <c r="C284" s="177"/>
      <c r="D284" s="177"/>
      <c r="E284" s="176"/>
      <c r="F284" s="177"/>
      <c r="G284" s="178"/>
      <c r="H284" s="178"/>
      <c r="I284" s="250"/>
      <c r="J284" s="177"/>
      <c r="K284" s="250"/>
      <c r="L284" s="177"/>
    </row>
    <row r="285" spans="1:12" ht="15">
      <c r="A285" s="175"/>
      <c r="B285" s="82"/>
      <c r="C285" s="177"/>
      <c r="D285" s="177"/>
      <c r="E285" s="176"/>
      <c r="F285" s="177"/>
      <c r="G285" s="178"/>
      <c r="H285" s="178"/>
      <c r="I285" s="250"/>
      <c r="J285" s="177"/>
      <c r="K285" s="250"/>
      <c r="L285" s="177"/>
    </row>
    <row r="286" spans="1:12" ht="15">
      <c r="A286" s="175"/>
      <c r="B286" s="82"/>
      <c r="C286" s="177"/>
      <c r="D286" s="177"/>
      <c r="E286" s="176"/>
      <c r="F286" s="177"/>
      <c r="G286" s="178"/>
      <c r="H286" s="178"/>
      <c r="I286" s="250"/>
      <c r="J286" s="177"/>
      <c r="K286" s="250"/>
      <c r="L286" s="177"/>
    </row>
    <row r="287" spans="1:12" ht="15">
      <c r="A287" s="175"/>
      <c r="B287" s="82"/>
      <c r="C287" s="177"/>
      <c r="D287" s="177"/>
      <c r="E287" s="176"/>
      <c r="F287" s="177"/>
      <c r="G287" s="178"/>
      <c r="H287" s="178"/>
      <c r="I287" s="250"/>
      <c r="J287" s="177"/>
      <c r="K287" s="250"/>
      <c r="L287" s="177"/>
    </row>
    <row r="288" spans="1:12" ht="15">
      <c r="A288" s="175"/>
      <c r="B288" s="82"/>
      <c r="C288" s="177"/>
      <c r="D288" s="177"/>
      <c r="E288" s="176"/>
      <c r="F288" s="177"/>
      <c r="G288" s="178"/>
      <c r="H288" s="178"/>
      <c r="I288" s="250"/>
      <c r="J288" s="177"/>
      <c r="K288" s="250"/>
      <c r="L288" s="177"/>
    </row>
    <row r="289" spans="1:12" ht="15">
      <c r="A289" s="175"/>
      <c r="B289" s="82"/>
      <c r="C289" s="177"/>
      <c r="D289" s="177"/>
      <c r="E289" s="176"/>
      <c r="F289" s="177"/>
      <c r="G289" s="178"/>
      <c r="H289" s="178"/>
      <c r="I289" s="250"/>
      <c r="J289" s="177"/>
      <c r="K289" s="250"/>
      <c r="L289" s="177"/>
    </row>
    <row r="290" spans="1:12" ht="15">
      <c r="A290" s="175"/>
      <c r="B290" s="82"/>
      <c r="C290" s="177"/>
      <c r="D290" s="177"/>
      <c r="E290" s="176"/>
      <c r="F290" s="177"/>
      <c r="G290" s="178"/>
      <c r="H290" s="178"/>
      <c r="I290" s="250"/>
      <c r="J290" s="177"/>
      <c r="K290" s="250"/>
      <c r="L290" s="177"/>
    </row>
    <row r="291" spans="1:12" ht="15">
      <c r="A291" s="175"/>
      <c r="B291" s="82"/>
      <c r="C291" s="177"/>
      <c r="D291" s="177"/>
      <c r="E291" s="176"/>
      <c r="F291" s="177"/>
      <c r="G291" s="178"/>
      <c r="H291" s="178"/>
      <c r="I291" s="250"/>
      <c r="J291" s="177"/>
      <c r="K291" s="250"/>
      <c r="L291" s="177"/>
    </row>
    <row r="292" spans="1:12" ht="15">
      <c r="A292" s="175"/>
      <c r="B292" s="82"/>
      <c r="C292" s="177"/>
      <c r="D292" s="177"/>
      <c r="E292" s="176"/>
      <c r="F292" s="177"/>
      <c r="G292" s="178"/>
      <c r="H292" s="178"/>
      <c r="I292" s="250"/>
      <c r="J292" s="177"/>
      <c r="K292" s="250"/>
      <c r="L292" s="177"/>
    </row>
    <row r="293" spans="2:3" ht="15">
      <c r="B293" s="3"/>
      <c r="C293" s="79"/>
    </row>
    <row r="294" spans="2:3" ht="15">
      <c r="B294" s="3"/>
      <c r="C294" s="79"/>
    </row>
    <row r="295" spans="2:3" ht="15">
      <c r="B295" s="3"/>
      <c r="C295" s="79"/>
    </row>
    <row r="296" spans="2:3" ht="15">
      <c r="B296" s="3"/>
      <c r="C296" s="79"/>
    </row>
    <row r="297" spans="2:3" ht="15">
      <c r="B297" s="3"/>
      <c r="C297" s="79"/>
    </row>
    <row r="298" spans="2:3" ht="15">
      <c r="B298" s="3"/>
      <c r="C298" s="79"/>
    </row>
    <row r="299" spans="2:3" ht="15">
      <c r="B299" s="3"/>
      <c r="C299" s="79"/>
    </row>
    <row r="300" spans="2:3" ht="15">
      <c r="B300" s="3"/>
      <c r="C300" s="79"/>
    </row>
    <row r="301" spans="2:3" ht="15">
      <c r="B301" s="3"/>
      <c r="C301" s="79"/>
    </row>
    <row r="302" spans="2:3" ht="15">
      <c r="B302" s="3"/>
      <c r="C302" s="79"/>
    </row>
    <row r="303" spans="2:3" ht="15">
      <c r="B303" s="3"/>
      <c r="C303" s="79"/>
    </row>
    <row r="304" spans="2:3" ht="15">
      <c r="B304" s="3"/>
      <c r="C304" s="79"/>
    </row>
    <row r="305" spans="2:3" ht="15">
      <c r="B305" s="3"/>
      <c r="C305" s="79"/>
    </row>
    <row r="306" spans="2:3" ht="15">
      <c r="B306" s="3"/>
      <c r="C306" s="79"/>
    </row>
    <row r="307" spans="2:3" ht="15">
      <c r="B307" s="3"/>
      <c r="C307" s="79"/>
    </row>
    <row r="308" spans="2:3" ht="15">
      <c r="B308" s="3"/>
      <c r="C308" s="79"/>
    </row>
    <row r="309" spans="2:3" ht="15">
      <c r="B309" s="3"/>
      <c r="C309" s="79"/>
    </row>
    <row r="310" spans="2:3" ht="15">
      <c r="B310" s="3"/>
      <c r="C310" s="79"/>
    </row>
    <row r="311" spans="2:3" ht="15">
      <c r="B311" s="3"/>
      <c r="C311" s="79"/>
    </row>
    <row r="312" spans="2:3" ht="15">
      <c r="B312" s="3"/>
      <c r="C312" s="79"/>
    </row>
    <row r="313" spans="2:3" ht="15">
      <c r="B313" s="3"/>
      <c r="C313" s="79"/>
    </row>
    <row r="314" spans="2:3" ht="15">
      <c r="B314" s="3"/>
      <c r="C314" s="79"/>
    </row>
    <row r="315" spans="2:3" ht="15">
      <c r="B315" s="3"/>
      <c r="C315" s="79"/>
    </row>
    <row r="316" spans="2:3" ht="15">
      <c r="B316" s="3"/>
      <c r="C316" s="79"/>
    </row>
    <row r="317" spans="2:3" ht="15">
      <c r="B317" s="3"/>
      <c r="C317" s="79"/>
    </row>
    <row r="318" spans="2:3" ht="15">
      <c r="B318" s="3"/>
      <c r="C318" s="79"/>
    </row>
    <row r="319" spans="2:3" ht="15">
      <c r="B319" s="3"/>
      <c r="C319" s="79"/>
    </row>
    <row r="320" spans="2:3" ht="15">
      <c r="B320" s="3"/>
      <c r="C320" s="79"/>
    </row>
    <row r="321" spans="2:3" ht="15">
      <c r="B321" s="3"/>
      <c r="C321" s="79"/>
    </row>
    <row r="322" spans="2:3" ht="15">
      <c r="B322" s="3"/>
      <c r="C322" s="79"/>
    </row>
    <row r="323" spans="2:3" ht="15">
      <c r="B323" s="3"/>
      <c r="C323" s="79"/>
    </row>
    <row r="324" spans="2:3" ht="15">
      <c r="B324" s="3"/>
      <c r="C324" s="79"/>
    </row>
    <row r="325" spans="2:3" ht="15">
      <c r="B325" s="3"/>
      <c r="C325" s="79"/>
    </row>
    <row r="326" spans="2:3" ht="15">
      <c r="B326" s="3"/>
      <c r="C326" s="79"/>
    </row>
    <row r="327" spans="2:3" ht="15">
      <c r="B327" s="3"/>
      <c r="C327" s="79"/>
    </row>
    <row r="328" spans="2:3" ht="15">
      <c r="B328" s="3"/>
      <c r="C328" s="79"/>
    </row>
    <row r="329" spans="2:3" ht="15">
      <c r="B329" s="3"/>
      <c r="C329" s="79"/>
    </row>
    <row r="330" spans="2:3" ht="15">
      <c r="B330" s="3"/>
      <c r="C330" s="79"/>
    </row>
    <row r="331" spans="2:3" ht="15">
      <c r="B331" s="3"/>
      <c r="C331" s="79"/>
    </row>
    <row r="332" spans="2:3" ht="15">
      <c r="B332" s="3"/>
      <c r="C332" s="79"/>
    </row>
    <row r="333" spans="2:3" ht="15">
      <c r="B333" s="3"/>
      <c r="C333" s="79"/>
    </row>
    <row r="334" spans="2:3" ht="15">
      <c r="B334" s="3"/>
      <c r="C334" s="79"/>
    </row>
    <row r="335" spans="2:3" ht="15">
      <c r="B335" s="3"/>
      <c r="C335" s="79"/>
    </row>
    <row r="336" spans="2:3" ht="15">
      <c r="B336" s="3"/>
      <c r="C336" s="79"/>
    </row>
    <row r="337" spans="2:3" ht="15">
      <c r="B337" s="3"/>
      <c r="C337" s="79"/>
    </row>
    <row r="338" spans="2:3" ht="15">
      <c r="B338" s="3"/>
      <c r="C338" s="79"/>
    </row>
    <row r="339" spans="2:3" ht="15">
      <c r="B339" s="3"/>
      <c r="C339" s="79"/>
    </row>
    <row r="340" spans="1:13" ht="15.75">
      <c r="A340" s="50"/>
      <c r="B340" s="4"/>
      <c r="C340" s="188"/>
      <c r="D340" s="188"/>
      <c r="E340" s="52"/>
      <c r="F340" s="188"/>
      <c r="G340" s="39"/>
      <c r="H340" s="39"/>
      <c r="I340" s="252"/>
      <c r="J340" s="188"/>
      <c r="K340" s="252"/>
      <c r="L340" s="188"/>
      <c r="M340" s="52"/>
    </row>
    <row r="341" spans="1:13" ht="15.75">
      <c r="A341" s="50"/>
      <c r="B341" s="4"/>
      <c r="C341" s="188"/>
      <c r="D341" s="188"/>
      <c r="E341" s="52"/>
      <c r="F341" s="188"/>
      <c r="G341" s="39"/>
      <c r="H341" s="39"/>
      <c r="I341" s="252"/>
      <c r="J341" s="188"/>
      <c r="K341" s="252"/>
      <c r="L341" s="188"/>
      <c r="M341" s="52"/>
    </row>
    <row r="342" spans="1:13" ht="15.75">
      <c r="A342" s="50"/>
      <c r="B342" s="4"/>
      <c r="C342" s="188"/>
      <c r="D342" s="188"/>
      <c r="E342" s="52"/>
      <c r="F342" s="188"/>
      <c r="G342" s="39"/>
      <c r="H342" s="39"/>
      <c r="I342" s="252"/>
      <c r="J342" s="188"/>
      <c r="K342" s="252"/>
      <c r="L342" s="188"/>
      <c r="M342" s="52"/>
    </row>
    <row r="343" spans="1:13" ht="15.75">
      <c r="A343" s="50"/>
      <c r="B343" s="4"/>
      <c r="C343" s="188"/>
      <c r="D343" s="188"/>
      <c r="E343" s="52"/>
      <c r="F343" s="188"/>
      <c r="G343" s="39"/>
      <c r="H343" s="39"/>
      <c r="I343" s="252"/>
      <c r="J343" s="188"/>
      <c r="K343" s="252"/>
      <c r="L343" s="188"/>
      <c r="M343" s="52"/>
    </row>
    <row r="344" spans="1:13" ht="15.75">
      <c r="A344" s="50"/>
      <c r="B344" s="4"/>
      <c r="C344" s="188"/>
      <c r="D344" s="188"/>
      <c r="E344" s="52"/>
      <c r="F344" s="188"/>
      <c r="G344" s="39"/>
      <c r="H344" s="39"/>
      <c r="I344" s="252"/>
      <c r="J344" s="188"/>
      <c r="K344" s="252"/>
      <c r="L344" s="188"/>
      <c r="M344" s="52"/>
    </row>
    <row r="345" spans="1:13" ht="15.75">
      <c r="A345" s="50"/>
      <c r="B345" s="4"/>
      <c r="C345" s="188"/>
      <c r="D345" s="188"/>
      <c r="E345" s="52"/>
      <c r="F345" s="188"/>
      <c r="G345" s="39"/>
      <c r="H345" s="39"/>
      <c r="I345" s="252"/>
      <c r="J345" s="188"/>
      <c r="K345" s="252"/>
      <c r="L345" s="188"/>
      <c r="M345" s="52"/>
    </row>
    <row r="346" spans="1:13" ht="15.75">
      <c r="A346" s="50"/>
      <c r="B346" s="4"/>
      <c r="C346" s="188"/>
      <c r="D346" s="188"/>
      <c r="E346" s="52"/>
      <c r="F346" s="188"/>
      <c r="G346" s="39"/>
      <c r="H346" s="39"/>
      <c r="I346" s="252"/>
      <c r="J346" s="188"/>
      <c r="K346" s="252"/>
      <c r="L346" s="188"/>
      <c r="M346" s="52"/>
    </row>
    <row r="347" spans="1:13" ht="15.75">
      <c r="A347" s="50"/>
      <c r="B347" s="4"/>
      <c r="C347" s="188"/>
      <c r="D347" s="188"/>
      <c r="E347" s="52"/>
      <c r="F347" s="188"/>
      <c r="G347" s="39"/>
      <c r="H347" s="39"/>
      <c r="I347" s="252"/>
      <c r="J347" s="188"/>
      <c r="K347" s="252"/>
      <c r="L347" s="188"/>
      <c r="M347" s="52"/>
    </row>
    <row r="348" spans="1:13" ht="15.75">
      <c r="A348" s="50"/>
      <c r="B348" s="4"/>
      <c r="C348" s="188"/>
      <c r="D348" s="188"/>
      <c r="E348" s="52"/>
      <c r="F348" s="188"/>
      <c r="G348" s="39"/>
      <c r="H348" s="39"/>
      <c r="I348" s="252"/>
      <c r="J348" s="188"/>
      <c r="K348" s="252"/>
      <c r="L348" s="188"/>
      <c r="M348" s="52"/>
    </row>
    <row r="349" spans="1:13" ht="15.75">
      <c r="A349" s="50"/>
      <c r="B349" s="4"/>
      <c r="C349" s="188"/>
      <c r="D349" s="188"/>
      <c r="E349" s="52"/>
      <c r="F349" s="188"/>
      <c r="G349" s="39"/>
      <c r="H349" s="39"/>
      <c r="I349" s="252"/>
      <c r="J349" s="188"/>
      <c r="K349" s="252"/>
      <c r="L349" s="188"/>
      <c r="M349" s="52"/>
    </row>
    <row r="350" spans="1:13" ht="15.75">
      <c r="A350" s="50"/>
      <c r="B350" s="4"/>
      <c r="C350" s="188"/>
      <c r="D350" s="188"/>
      <c r="E350" s="52"/>
      <c r="F350" s="188"/>
      <c r="G350" s="39"/>
      <c r="H350" s="39"/>
      <c r="I350" s="252"/>
      <c r="J350" s="188"/>
      <c r="K350" s="252"/>
      <c r="L350" s="188"/>
      <c r="M350" s="52"/>
    </row>
    <row r="351" spans="1:13" ht="15.75">
      <c r="A351" s="50"/>
      <c r="B351" s="4"/>
      <c r="C351" s="188"/>
      <c r="D351" s="188"/>
      <c r="E351" s="52"/>
      <c r="F351" s="188"/>
      <c r="G351" s="39"/>
      <c r="H351" s="39"/>
      <c r="I351" s="252"/>
      <c r="J351" s="188"/>
      <c r="K351" s="252"/>
      <c r="L351" s="188"/>
      <c r="M351" s="52"/>
    </row>
    <row r="352" spans="1:13" ht="15.75">
      <c r="A352" s="50"/>
      <c r="B352" s="4"/>
      <c r="C352" s="188"/>
      <c r="D352" s="188"/>
      <c r="E352" s="52"/>
      <c r="F352" s="188"/>
      <c r="G352" s="39"/>
      <c r="H352" s="39"/>
      <c r="I352" s="252"/>
      <c r="J352" s="188"/>
      <c r="K352" s="252"/>
      <c r="L352" s="188"/>
      <c r="M352" s="52"/>
    </row>
    <row r="353" spans="1:13" ht="15.75">
      <c r="A353" s="50"/>
      <c r="B353" s="4"/>
      <c r="C353" s="188"/>
      <c r="D353" s="188"/>
      <c r="E353" s="52"/>
      <c r="F353" s="188"/>
      <c r="G353" s="39"/>
      <c r="H353" s="39"/>
      <c r="I353" s="252"/>
      <c r="J353" s="188"/>
      <c r="K353" s="252"/>
      <c r="L353" s="188"/>
      <c r="M353" s="52"/>
    </row>
    <row r="354" spans="1:13" ht="15.75">
      <c r="A354" s="50"/>
      <c r="B354" s="4"/>
      <c r="C354" s="188"/>
      <c r="D354" s="188"/>
      <c r="E354" s="52"/>
      <c r="F354" s="188"/>
      <c r="G354" s="39"/>
      <c r="H354" s="39"/>
      <c r="I354" s="252"/>
      <c r="J354" s="188"/>
      <c r="K354" s="252"/>
      <c r="L354" s="188"/>
      <c r="M354" s="52"/>
    </row>
    <row r="355" spans="1:13" ht="15.75">
      <c r="A355" s="50"/>
      <c r="B355" s="4"/>
      <c r="C355" s="188"/>
      <c r="D355" s="188"/>
      <c r="E355" s="52"/>
      <c r="F355" s="188"/>
      <c r="G355" s="39"/>
      <c r="H355" s="39"/>
      <c r="I355" s="252"/>
      <c r="J355" s="188"/>
      <c r="K355" s="252"/>
      <c r="L355" s="188"/>
      <c r="M355" s="52"/>
    </row>
    <row r="356" spans="1:13" ht="15.75">
      <c r="A356" s="50"/>
      <c r="B356" s="4"/>
      <c r="C356" s="188"/>
      <c r="D356" s="188"/>
      <c r="E356" s="52"/>
      <c r="F356" s="188"/>
      <c r="G356" s="39"/>
      <c r="H356" s="39"/>
      <c r="I356" s="252"/>
      <c r="J356" s="188"/>
      <c r="K356" s="252"/>
      <c r="L356" s="188"/>
      <c r="M356" s="52"/>
    </row>
    <row r="357" spans="1:13" ht="15.75">
      <c r="A357" s="50"/>
      <c r="B357" s="4"/>
      <c r="C357" s="188"/>
      <c r="D357" s="188"/>
      <c r="E357" s="52"/>
      <c r="F357" s="188"/>
      <c r="G357" s="39"/>
      <c r="H357" s="39"/>
      <c r="I357" s="252"/>
      <c r="J357" s="188"/>
      <c r="K357" s="252"/>
      <c r="L357" s="188"/>
      <c r="M357" s="52"/>
    </row>
    <row r="358" spans="1:13" ht="15.75">
      <c r="A358" s="50"/>
      <c r="B358" s="4"/>
      <c r="C358" s="188"/>
      <c r="D358" s="188"/>
      <c r="E358" s="52"/>
      <c r="F358" s="188"/>
      <c r="G358" s="39"/>
      <c r="H358" s="39"/>
      <c r="I358" s="252"/>
      <c r="J358" s="188"/>
      <c r="K358" s="252"/>
      <c r="L358" s="188"/>
      <c r="M358" s="52"/>
    </row>
    <row r="359" spans="1:13" ht="15.75">
      <c r="A359" s="50"/>
      <c r="B359" s="4"/>
      <c r="C359" s="188"/>
      <c r="D359" s="188"/>
      <c r="E359" s="52"/>
      <c r="F359" s="188"/>
      <c r="G359" s="39"/>
      <c r="H359" s="39"/>
      <c r="I359" s="252"/>
      <c r="J359" s="188"/>
      <c r="K359" s="252"/>
      <c r="L359" s="188"/>
      <c r="M359" s="52"/>
    </row>
    <row r="360" spans="1:13" ht="15.75">
      <c r="A360" s="50"/>
      <c r="B360" s="4"/>
      <c r="C360" s="188"/>
      <c r="D360" s="188"/>
      <c r="E360" s="52"/>
      <c r="F360" s="188"/>
      <c r="G360" s="39"/>
      <c r="H360" s="39"/>
      <c r="I360" s="252"/>
      <c r="J360" s="188"/>
      <c r="K360" s="252"/>
      <c r="L360" s="188"/>
      <c r="M360" s="52"/>
    </row>
    <row r="361" spans="1:13" ht="15.75">
      <c r="A361" s="50"/>
      <c r="B361" s="4"/>
      <c r="C361" s="188"/>
      <c r="D361" s="188"/>
      <c r="E361" s="52"/>
      <c r="F361" s="188"/>
      <c r="G361" s="39"/>
      <c r="H361" s="39"/>
      <c r="I361" s="252"/>
      <c r="J361" s="188"/>
      <c r="K361" s="252"/>
      <c r="L361" s="188"/>
      <c r="M361" s="52"/>
    </row>
    <row r="362" spans="1:13" ht="15.75">
      <c r="A362" s="50"/>
      <c r="B362" s="4"/>
      <c r="C362" s="188"/>
      <c r="D362" s="188"/>
      <c r="E362" s="52"/>
      <c r="F362" s="188"/>
      <c r="G362" s="39"/>
      <c r="H362" s="39"/>
      <c r="I362" s="252"/>
      <c r="J362" s="188"/>
      <c r="K362" s="252"/>
      <c r="L362" s="188"/>
      <c r="M362" s="52"/>
    </row>
    <row r="363" spans="1:13" ht="15.75">
      <c r="A363" s="50"/>
      <c r="B363" s="4"/>
      <c r="C363" s="188"/>
      <c r="D363" s="188"/>
      <c r="E363" s="52"/>
      <c r="F363" s="188"/>
      <c r="G363" s="39"/>
      <c r="H363" s="39"/>
      <c r="I363" s="252"/>
      <c r="J363" s="188"/>
      <c r="K363" s="252"/>
      <c r="L363" s="188"/>
      <c r="M363" s="52"/>
    </row>
    <row r="364" spans="1:13" ht="15.75">
      <c r="A364" s="50"/>
      <c r="B364" s="4"/>
      <c r="C364" s="188"/>
      <c r="D364" s="188"/>
      <c r="E364" s="52"/>
      <c r="F364" s="188"/>
      <c r="G364" s="39"/>
      <c r="H364" s="39"/>
      <c r="I364" s="252"/>
      <c r="J364" s="188"/>
      <c r="K364" s="252"/>
      <c r="L364" s="188"/>
      <c r="M364" s="52"/>
    </row>
    <row r="365" spans="1:13" ht="15.75">
      <c r="A365" s="50"/>
      <c r="B365" s="4"/>
      <c r="C365" s="188"/>
      <c r="D365" s="188"/>
      <c r="E365" s="52"/>
      <c r="F365" s="188"/>
      <c r="G365" s="39"/>
      <c r="H365" s="39"/>
      <c r="I365" s="252"/>
      <c r="J365" s="188"/>
      <c r="K365" s="252"/>
      <c r="L365" s="188"/>
      <c r="M365" s="52"/>
    </row>
    <row r="366" spans="1:13" ht="15.75">
      <c r="A366" s="50"/>
      <c r="B366" s="4"/>
      <c r="C366" s="188"/>
      <c r="D366" s="188"/>
      <c r="E366" s="52"/>
      <c r="F366" s="188"/>
      <c r="G366" s="39"/>
      <c r="H366" s="39"/>
      <c r="I366" s="252"/>
      <c r="J366" s="188"/>
      <c r="K366" s="252"/>
      <c r="L366" s="188"/>
      <c r="M366" s="52"/>
    </row>
    <row r="367" spans="1:13" ht="15.75">
      <c r="A367" s="50"/>
      <c r="B367" s="4"/>
      <c r="C367" s="188"/>
      <c r="D367" s="188"/>
      <c r="E367" s="52"/>
      <c r="F367" s="188"/>
      <c r="G367" s="39"/>
      <c r="H367" s="39"/>
      <c r="I367" s="252"/>
      <c r="J367" s="188"/>
      <c r="K367" s="252"/>
      <c r="L367" s="188"/>
      <c r="M367" s="52"/>
    </row>
    <row r="368" spans="1:13" ht="15.75">
      <c r="A368" s="50"/>
      <c r="B368" s="4"/>
      <c r="C368" s="188"/>
      <c r="D368" s="188"/>
      <c r="E368" s="52"/>
      <c r="F368" s="188"/>
      <c r="G368" s="39"/>
      <c r="H368" s="39"/>
      <c r="I368" s="252"/>
      <c r="J368" s="188"/>
      <c r="K368" s="252"/>
      <c r="L368" s="188"/>
      <c r="M368" s="52"/>
    </row>
    <row r="369" spans="1:13" ht="15.75">
      <c r="A369" s="50"/>
      <c r="B369" s="4"/>
      <c r="C369" s="188"/>
      <c r="D369" s="188"/>
      <c r="E369" s="52"/>
      <c r="F369" s="188"/>
      <c r="G369" s="39"/>
      <c r="H369" s="39"/>
      <c r="I369" s="252"/>
      <c r="J369" s="188"/>
      <c r="K369" s="252"/>
      <c r="L369" s="188"/>
      <c r="M369" s="52"/>
    </row>
    <row r="370" spans="1:13" ht="15.75">
      <c r="A370" s="50"/>
      <c r="B370" s="4"/>
      <c r="C370" s="188"/>
      <c r="D370" s="188"/>
      <c r="E370" s="52"/>
      <c r="F370" s="188"/>
      <c r="G370" s="39"/>
      <c r="H370" s="39"/>
      <c r="I370" s="252"/>
      <c r="J370" s="188"/>
      <c r="K370" s="252"/>
      <c r="L370" s="188"/>
      <c r="M370" s="52"/>
    </row>
    <row r="371" spans="1:13" ht="15.75">
      <c r="A371" s="50"/>
      <c r="B371" s="4"/>
      <c r="C371" s="188"/>
      <c r="D371" s="188"/>
      <c r="E371" s="52"/>
      <c r="F371" s="188"/>
      <c r="G371" s="39"/>
      <c r="H371" s="39"/>
      <c r="I371" s="252"/>
      <c r="J371" s="188"/>
      <c r="K371" s="252"/>
      <c r="L371" s="188"/>
      <c r="M371" s="52"/>
    </row>
    <row r="372" spans="1:13" ht="15.75">
      <c r="A372" s="50"/>
      <c r="B372" s="4"/>
      <c r="C372" s="188"/>
      <c r="D372" s="188"/>
      <c r="E372" s="52"/>
      <c r="F372" s="188"/>
      <c r="G372" s="39"/>
      <c r="H372" s="39"/>
      <c r="I372" s="252"/>
      <c r="J372" s="188"/>
      <c r="K372" s="252"/>
      <c r="L372" s="188"/>
      <c r="M372" s="52"/>
    </row>
    <row r="373" spans="1:13" ht="15.75">
      <c r="A373" s="50"/>
      <c r="B373" s="4"/>
      <c r="C373" s="188"/>
      <c r="D373" s="188"/>
      <c r="E373" s="52"/>
      <c r="F373" s="188"/>
      <c r="G373" s="39"/>
      <c r="H373" s="39"/>
      <c r="I373" s="252"/>
      <c r="J373" s="188"/>
      <c r="K373" s="252"/>
      <c r="L373" s="188"/>
      <c r="M373" s="52"/>
    </row>
    <row r="374" spans="1:13" ht="15.75">
      <c r="A374" s="50"/>
      <c r="B374" s="4"/>
      <c r="C374" s="188"/>
      <c r="D374" s="188"/>
      <c r="E374" s="52"/>
      <c r="F374" s="188"/>
      <c r="G374" s="39"/>
      <c r="H374" s="39"/>
      <c r="I374" s="252"/>
      <c r="J374" s="188"/>
      <c r="K374" s="252"/>
      <c r="L374" s="188"/>
      <c r="M374" s="52"/>
    </row>
    <row r="375" spans="1:13" ht="15.75">
      <c r="A375" s="50"/>
      <c r="B375" s="4"/>
      <c r="C375" s="188"/>
      <c r="D375" s="188"/>
      <c r="E375" s="52"/>
      <c r="F375" s="188"/>
      <c r="G375" s="39"/>
      <c r="H375" s="39"/>
      <c r="I375" s="252"/>
      <c r="J375" s="188"/>
      <c r="K375" s="252"/>
      <c r="L375" s="188"/>
      <c r="M375" s="52"/>
    </row>
    <row r="376" spans="1:13" ht="15.75">
      <c r="A376" s="50"/>
      <c r="B376" s="4"/>
      <c r="C376" s="188"/>
      <c r="D376" s="188"/>
      <c r="E376" s="52"/>
      <c r="F376" s="188"/>
      <c r="G376" s="39"/>
      <c r="H376" s="39"/>
      <c r="I376" s="252"/>
      <c r="J376" s="188"/>
      <c r="K376" s="252"/>
      <c r="L376" s="188"/>
      <c r="M376" s="52"/>
    </row>
    <row r="377" spans="1:13" ht="15.75">
      <c r="A377" s="50"/>
      <c r="B377" s="4"/>
      <c r="C377" s="188"/>
      <c r="D377" s="188"/>
      <c r="E377" s="52"/>
      <c r="F377" s="188"/>
      <c r="G377" s="39"/>
      <c r="H377" s="39"/>
      <c r="I377" s="252"/>
      <c r="J377" s="188"/>
      <c r="K377" s="252"/>
      <c r="L377" s="188"/>
      <c r="M377" s="52"/>
    </row>
    <row r="378" spans="1:13" ht="15.75">
      <c r="A378" s="50"/>
      <c r="B378" s="4"/>
      <c r="C378" s="188"/>
      <c r="D378" s="188"/>
      <c r="E378" s="52"/>
      <c r="F378" s="188"/>
      <c r="G378" s="39"/>
      <c r="H378" s="39"/>
      <c r="I378" s="252"/>
      <c r="J378" s="188"/>
      <c r="K378" s="252"/>
      <c r="L378" s="188"/>
      <c r="M378" s="52"/>
    </row>
    <row r="379" spans="1:13" ht="15.75">
      <c r="A379" s="50"/>
      <c r="B379" s="4"/>
      <c r="C379" s="188"/>
      <c r="D379" s="188"/>
      <c r="E379" s="52"/>
      <c r="F379" s="188"/>
      <c r="G379" s="39"/>
      <c r="H379" s="39"/>
      <c r="I379" s="252"/>
      <c r="J379" s="188"/>
      <c r="K379" s="252"/>
      <c r="L379" s="188"/>
      <c r="M379" s="52"/>
    </row>
    <row r="380" spans="1:13" ht="15.75">
      <c r="A380" s="50"/>
      <c r="B380" s="4"/>
      <c r="C380" s="188"/>
      <c r="D380" s="188"/>
      <c r="E380" s="52"/>
      <c r="F380" s="188"/>
      <c r="G380" s="39"/>
      <c r="H380" s="39"/>
      <c r="I380" s="252"/>
      <c r="J380" s="188"/>
      <c r="K380" s="252"/>
      <c r="L380" s="188"/>
      <c r="M380" s="52"/>
    </row>
    <row r="381" spans="1:13" ht="15.75">
      <c r="A381" s="50"/>
      <c r="B381" s="4"/>
      <c r="C381" s="188"/>
      <c r="D381" s="188"/>
      <c r="E381" s="52"/>
      <c r="F381" s="188"/>
      <c r="G381" s="39"/>
      <c r="H381" s="39"/>
      <c r="I381" s="252"/>
      <c r="J381" s="188"/>
      <c r="K381" s="252"/>
      <c r="L381" s="188"/>
      <c r="M381" s="52"/>
    </row>
    <row r="382" spans="1:13" ht="15.75">
      <c r="A382" s="50"/>
      <c r="B382" s="4"/>
      <c r="C382" s="188"/>
      <c r="D382" s="188"/>
      <c r="E382" s="52"/>
      <c r="F382" s="188"/>
      <c r="G382" s="39"/>
      <c r="H382" s="39"/>
      <c r="I382" s="252"/>
      <c r="J382" s="188"/>
      <c r="K382" s="252"/>
      <c r="L382" s="188"/>
      <c r="M382" s="52"/>
    </row>
    <row r="383" spans="1:13" ht="15.75">
      <c r="A383" s="50"/>
      <c r="B383" s="4"/>
      <c r="C383" s="188"/>
      <c r="D383" s="188"/>
      <c r="E383" s="52"/>
      <c r="F383" s="188"/>
      <c r="G383" s="39"/>
      <c r="H383" s="39"/>
      <c r="I383" s="252"/>
      <c r="J383" s="188"/>
      <c r="K383" s="252"/>
      <c r="L383" s="188"/>
      <c r="M383" s="52"/>
    </row>
    <row r="384" spans="1:13" ht="15.75">
      <c r="A384" s="50"/>
      <c r="B384" s="4"/>
      <c r="C384" s="188"/>
      <c r="D384" s="188"/>
      <c r="E384" s="52"/>
      <c r="F384" s="188"/>
      <c r="G384" s="39"/>
      <c r="H384" s="39"/>
      <c r="I384" s="252"/>
      <c r="J384" s="188"/>
      <c r="K384" s="252"/>
      <c r="L384" s="188"/>
      <c r="M384" s="52"/>
    </row>
    <row r="385" spans="1:13" ht="15.75">
      <c r="A385" s="50"/>
      <c r="B385" s="4"/>
      <c r="C385" s="188"/>
      <c r="D385" s="188"/>
      <c r="E385" s="52"/>
      <c r="F385" s="188"/>
      <c r="G385" s="39"/>
      <c r="H385" s="39"/>
      <c r="I385" s="252"/>
      <c r="J385" s="188"/>
      <c r="K385" s="252"/>
      <c r="L385" s="188"/>
      <c r="M385" s="52"/>
    </row>
    <row r="386" spans="1:13" ht="15.75">
      <c r="A386" s="50"/>
      <c r="B386" s="4"/>
      <c r="C386" s="188"/>
      <c r="D386" s="188"/>
      <c r="E386" s="52"/>
      <c r="F386" s="188"/>
      <c r="G386" s="39"/>
      <c r="H386" s="39"/>
      <c r="I386" s="252"/>
      <c r="J386" s="188"/>
      <c r="K386" s="252"/>
      <c r="L386" s="188"/>
      <c r="M386" s="52"/>
    </row>
    <row r="387" spans="1:13" ht="15.75">
      <c r="A387" s="50"/>
      <c r="B387" s="4"/>
      <c r="C387" s="188"/>
      <c r="D387" s="188"/>
      <c r="E387" s="52"/>
      <c r="F387" s="188"/>
      <c r="G387" s="39"/>
      <c r="H387" s="39"/>
      <c r="I387" s="252"/>
      <c r="J387" s="188"/>
      <c r="K387" s="252"/>
      <c r="L387" s="188"/>
      <c r="M387" s="52"/>
    </row>
    <row r="388" spans="1:13" ht="15.75">
      <c r="A388" s="50"/>
      <c r="B388" s="4"/>
      <c r="C388" s="188"/>
      <c r="D388" s="188"/>
      <c r="E388" s="52"/>
      <c r="F388" s="188"/>
      <c r="G388" s="39"/>
      <c r="H388" s="39"/>
      <c r="I388" s="252"/>
      <c r="J388" s="188"/>
      <c r="K388" s="252"/>
      <c r="L388" s="188"/>
      <c r="M388" s="52"/>
    </row>
    <row r="389" spans="1:13" ht="15.75">
      <c r="A389" s="50"/>
      <c r="B389" s="4"/>
      <c r="C389" s="188"/>
      <c r="D389" s="188"/>
      <c r="E389" s="52"/>
      <c r="F389" s="188"/>
      <c r="G389" s="39"/>
      <c r="H389" s="39"/>
      <c r="I389" s="252"/>
      <c r="J389" s="188"/>
      <c r="K389" s="252"/>
      <c r="L389" s="188"/>
      <c r="M389" s="52"/>
    </row>
    <row r="390" spans="1:13" ht="15.75">
      <c r="A390" s="50"/>
      <c r="B390" s="4"/>
      <c r="C390" s="188"/>
      <c r="D390" s="188"/>
      <c r="E390" s="52"/>
      <c r="F390" s="188"/>
      <c r="G390" s="39"/>
      <c r="H390" s="39"/>
      <c r="I390" s="252"/>
      <c r="J390" s="188"/>
      <c r="K390" s="252"/>
      <c r="L390" s="188"/>
      <c r="M390" s="52"/>
    </row>
    <row r="391" spans="1:13" ht="15.75">
      <c r="A391" s="50"/>
      <c r="B391" s="4"/>
      <c r="C391" s="188"/>
      <c r="D391" s="188"/>
      <c r="E391" s="52"/>
      <c r="F391" s="188"/>
      <c r="G391" s="39"/>
      <c r="H391" s="39"/>
      <c r="I391" s="252"/>
      <c r="J391" s="188"/>
      <c r="K391" s="252"/>
      <c r="L391" s="188"/>
      <c r="M391" s="52"/>
    </row>
    <row r="392" spans="1:13" ht="15.75">
      <c r="A392" s="50"/>
      <c r="B392" s="4"/>
      <c r="C392" s="188"/>
      <c r="D392" s="188"/>
      <c r="E392" s="52"/>
      <c r="F392" s="188"/>
      <c r="G392" s="39"/>
      <c r="H392" s="39"/>
      <c r="I392" s="252"/>
      <c r="J392" s="188"/>
      <c r="K392" s="252"/>
      <c r="L392" s="188"/>
      <c r="M392" s="52"/>
    </row>
    <row r="393" spans="1:13" ht="15.75">
      <c r="A393" s="50"/>
      <c r="B393" s="4"/>
      <c r="C393" s="188"/>
      <c r="D393" s="188"/>
      <c r="E393" s="52"/>
      <c r="F393" s="188"/>
      <c r="G393" s="39"/>
      <c r="H393" s="39"/>
      <c r="I393" s="252"/>
      <c r="J393" s="188"/>
      <c r="K393" s="252"/>
      <c r="L393" s="188"/>
      <c r="M393" s="52"/>
    </row>
    <row r="394" spans="1:13" ht="15.75">
      <c r="A394" s="50"/>
      <c r="B394" s="4"/>
      <c r="C394" s="188"/>
      <c r="D394" s="188"/>
      <c r="E394" s="52"/>
      <c r="F394" s="188"/>
      <c r="G394" s="39"/>
      <c r="H394" s="39"/>
      <c r="I394" s="252"/>
      <c r="J394" s="188"/>
      <c r="K394" s="252"/>
      <c r="L394" s="188"/>
      <c r="M394" s="52"/>
    </row>
    <row r="395" spans="1:13" ht="15.75">
      <c r="A395" s="50"/>
      <c r="B395" s="4"/>
      <c r="C395" s="188"/>
      <c r="D395" s="188"/>
      <c r="E395" s="52"/>
      <c r="F395" s="188"/>
      <c r="G395" s="39"/>
      <c r="H395" s="39"/>
      <c r="I395" s="252"/>
      <c r="J395" s="188"/>
      <c r="K395" s="252"/>
      <c r="L395" s="188"/>
      <c r="M395" s="52"/>
    </row>
    <row r="396" spans="1:13" ht="15.75">
      <c r="A396" s="50"/>
      <c r="B396" s="4"/>
      <c r="C396" s="188"/>
      <c r="D396" s="188"/>
      <c r="E396" s="52"/>
      <c r="F396" s="188"/>
      <c r="G396" s="39"/>
      <c r="H396" s="39"/>
      <c r="I396" s="252"/>
      <c r="J396" s="188"/>
      <c r="K396" s="252"/>
      <c r="L396" s="188"/>
      <c r="M396" s="52"/>
    </row>
    <row r="397" spans="1:13" ht="15.75">
      <c r="A397" s="50"/>
      <c r="B397" s="4"/>
      <c r="C397" s="188"/>
      <c r="D397" s="188"/>
      <c r="E397" s="52"/>
      <c r="F397" s="188"/>
      <c r="G397" s="39"/>
      <c r="H397" s="39"/>
      <c r="I397" s="252"/>
      <c r="J397" s="188"/>
      <c r="K397" s="252"/>
      <c r="L397" s="188"/>
      <c r="M397" s="52"/>
    </row>
    <row r="398" spans="1:13" ht="15.75">
      <c r="A398" s="50"/>
      <c r="B398" s="4"/>
      <c r="C398" s="188"/>
      <c r="D398" s="188"/>
      <c r="E398" s="52"/>
      <c r="F398" s="188"/>
      <c r="G398" s="39"/>
      <c r="H398" s="39"/>
      <c r="I398" s="252"/>
      <c r="J398" s="188"/>
      <c r="K398" s="252"/>
      <c r="L398" s="188"/>
      <c r="M398" s="52"/>
    </row>
    <row r="399" spans="1:13" ht="15.75">
      <c r="A399" s="50"/>
      <c r="B399" s="4"/>
      <c r="C399" s="188"/>
      <c r="D399" s="188"/>
      <c r="E399" s="52"/>
      <c r="F399" s="188"/>
      <c r="G399" s="39"/>
      <c r="H399" s="39"/>
      <c r="I399" s="252"/>
      <c r="J399" s="188"/>
      <c r="K399" s="252"/>
      <c r="L399" s="188"/>
      <c r="M399" s="52"/>
    </row>
    <row r="400" spans="1:13" ht="15.75">
      <c r="A400" s="50"/>
      <c r="B400" s="4"/>
      <c r="C400" s="188"/>
      <c r="D400" s="188"/>
      <c r="E400" s="52"/>
      <c r="F400" s="188"/>
      <c r="G400" s="39"/>
      <c r="H400" s="39"/>
      <c r="I400" s="252"/>
      <c r="J400" s="188"/>
      <c r="K400" s="252"/>
      <c r="L400" s="188"/>
      <c r="M400" s="52"/>
    </row>
    <row r="401" spans="1:13" ht="15.75">
      <c r="A401" s="50"/>
      <c r="B401" s="4"/>
      <c r="C401" s="188"/>
      <c r="D401" s="188"/>
      <c r="E401" s="52"/>
      <c r="F401" s="188"/>
      <c r="G401" s="39"/>
      <c r="H401" s="39"/>
      <c r="I401" s="252"/>
      <c r="J401" s="188"/>
      <c r="K401" s="252"/>
      <c r="L401" s="188"/>
      <c r="M401" s="52"/>
    </row>
    <row r="402" spans="1:13" ht="15.75">
      <c r="A402" s="50"/>
      <c r="B402" s="4"/>
      <c r="C402" s="188"/>
      <c r="D402" s="188"/>
      <c r="E402" s="52"/>
      <c r="F402" s="188"/>
      <c r="G402" s="39"/>
      <c r="H402" s="39"/>
      <c r="I402" s="252"/>
      <c r="J402" s="188"/>
      <c r="K402" s="252"/>
      <c r="L402" s="188"/>
      <c r="M402" s="52"/>
    </row>
    <row r="403" spans="1:13" ht="15.75">
      <c r="A403" s="50"/>
      <c r="B403" s="4"/>
      <c r="C403" s="188"/>
      <c r="D403" s="188"/>
      <c r="E403" s="52"/>
      <c r="F403" s="188"/>
      <c r="G403" s="39"/>
      <c r="H403" s="39"/>
      <c r="I403" s="252"/>
      <c r="J403" s="188"/>
      <c r="K403" s="252"/>
      <c r="L403" s="188"/>
      <c r="M403" s="52"/>
    </row>
    <row r="404" spans="1:13" ht="15.75">
      <c r="A404" s="50"/>
      <c r="B404" s="4"/>
      <c r="C404" s="188"/>
      <c r="D404" s="188"/>
      <c r="E404" s="52"/>
      <c r="F404" s="188"/>
      <c r="G404" s="39"/>
      <c r="H404" s="39"/>
      <c r="I404" s="252"/>
      <c r="J404" s="188"/>
      <c r="K404" s="252"/>
      <c r="L404" s="188"/>
      <c r="M404" s="52"/>
    </row>
    <row r="405" spans="1:13" ht="15.75">
      <c r="A405" s="50"/>
      <c r="B405" s="4"/>
      <c r="C405" s="188"/>
      <c r="D405" s="188"/>
      <c r="E405" s="52"/>
      <c r="F405" s="188"/>
      <c r="G405" s="39"/>
      <c r="H405" s="39"/>
      <c r="I405" s="252"/>
      <c r="J405" s="188"/>
      <c r="K405" s="252"/>
      <c r="L405" s="188"/>
      <c r="M405" s="52"/>
    </row>
    <row r="406" spans="1:13" ht="15.75">
      <c r="A406" s="50"/>
      <c r="B406" s="4"/>
      <c r="C406" s="188"/>
      <c r="D406" s="188"/>
      <c r="E406" s="52"/>
      <c r="F406" s="188"/>
      <c r="G406" s="39"/>
      <c r="H406" s="39"/>
      <c r="I406" s="252"/>
      <c r="J406" s="188"/>
      <c r="K406" s="252"/>
      <c r="L406" s="188"/>
      <c r="M406" s="52"/>
    </row>
    <row r="407" spans="1:13" ht="15.75">
      <c r="A407" s="50"/>
      <c r="B407" s="4"/>
      <c r="C407" s="188"/>
      <c r="D407" s="188"/>
      <c r="E407" s="52"/>
      <c r="F407" s="188"/>
      <c r="G407" s="39"/>
      <c r="H407" s="39"/>
      <c r="I407" s="252"/>
      <c r="J407" s="188"/>
      <c r="K407" s="252"/>
      <c r="L407" s="188"/>
      <c r="M407" s="52"/>
    </row>
    <row r="408" spans="1:13" ht="15.75">
      <c r="A408" s="50"/>
      <c r="B408" s="4"/>
      <c r="C408" s="188"/>
      <c r="D408" s="188"/>
      <c r="E408" s="52"/>
      <c r="F408" s="188"/>
      <c r="G408" s="39"/>
      <c r="H408" s="39"/>
      <c r="I408" s="252"/>
      <c r="J408" s="188"/>
      <c r="K408" s="252"/>
      <c r="L408" s="188"/>
      <c r="M408" s="52"/>
    </row>
    <row r="409" spans="1:13" ht="15.75">
      <c r="A409" s="50"/>
      <c r="B409" s="4"/>
      <c r="C409" s="188"/>
      <c r="D409" s="188"/>
      <c r="E409" s="52"/>
      <c r="F409" s="188"/>
      <c r="G409" s="39"/>
      <c r="H409" s="39"/>
      <c r="I409" s="252"/>
      <c r="J409" s="188"/>
      <c r="K409" s="252"/>
      <c r="L409" s="188"/>
      <c r="M409" s="52"/>
    </row>
    <row r="410" spans="1:13" ht="15.75">
      <c r="A410" s="50"/>
      <c r="B410" s="4"/>
      <c r="C410" s="188"/>
      <c r="D410" s="188"/>
      <c r="E410" s="52"/>
      <c r="F410" s="188"/>
      <c r="G410" s="39"/>
      <c r="H410" s="39"/>
      <c r="I410" s="252"/>
      <c r="J410" s="188"/>
      <c r="K410" s="252"/>
      <c r="L410" s="188"/>
      <c r="M410" s="52"/>
    </row>
    <row r="411" spans="1:13" ht="15.75">
      <c r="A411" s="50"/>
      <c r="B411" s="4"/>
      <c r="C411" s="188"/>
      <c r="D411" s="188"/>
      <c r="E411" s="52"/>
      <c r="F411" s="188"/>
      <c r="G411" s="39"/>
      <c r="H411" s="39"/>
      <c r="I411" s="252"/>
      <c r="J411" s="188"/>
      <c r="K411" s="252"/>
      <c r="L411" s="188"/>
      <c r="M411" s="52"/>
    </row>
    <row r="412" spans="1:13" ht="15.75">
      <c r="A412" s="50"/>
      <c r="B412" s="4"/>
      <c r="C412" s="188"/>
      <c r="D412" s="188"/>
      <c r="E412" s="52"/>
      <c r="F412" s="188"/>
      <c r="G412" s="39"/>
      <c r="H412" s="39"/>
      <c r="I412" s="252"/>
      <c r="J412" s="188"/>
      <c r="K412" s="252"/>
      <c r="L412" s="188"/>
      <c r="M412" s="52"/>
    </row>
    <row r="413" spans="1:13" ht="15.75">
      <c r="A413" s="50"/>
      <c r="B413" s="4"/>
      <c r="C413" s="188"/>
      <c r="D413" s="188"/>
      <c r="E413" s="52"/>
      <c r="F413" s="188"/>
      <c r="G413" s="39"/>
      <c r="H413" s="39"/>
      <c r="I413" s="252"/>
      <c r="J413" s="188"/>
      <c r="K413" s="252"/>
      <c r="L413" s="188"/>
      <c r="M413" s="52"/>
    </row>
    <row r="414" spans="1:13" ht="15.75">
      <c r="A414" s="50"/>
      <c r="B414" s="4"/>
      <c r="C414" s="188"/>
      <c r="D414" s="188"/>
      <c r="E414" s="52"/>
      <c r="F414" s="188"/>
      <c r="G414" s="39"/>
      <c r="H414" s="39"/>
      <c r="I414" s="252"/>
      <c r="J414" s="188"/>
      <c r="K414" s="252"/>
      <c r="L414" s="188"/>
      <c r="M414" s="52"/>
    </row>
    <row r="415" spans="1:13" ht="15.75">
      <c r="A415" s="50"/>
      <c r="B415" s="4"/>
      <c r="C415" s="188"/>
      <c r="D415" s="188"/>
      <c r="E415" s="52"/>
      <c r="F415" s="188"/>
      <c r="G415" s="39"/>
      <c r="H415" s="39"/>
      <c r="I415" s="252"/>
      <c r="J415" s="188"/>
      <c r="K415" s="252"/>
      <c r="L415" s="188"/>
      <c r="M415" s="52"/>
    </row>
    <row r="416" spans="1:13" ht="15.75">
      <c r="A416" s="50"/>
      <c r="B416" s="4"/>
      <c r="C416" s="188"/>
      <c r="D416" s="188"/>
      <c r="E416" s="52"/>
      <c r="F416" s="188"/>
      <c r="G416" s="39"/>
      <c r="H416" s="39"/>
      <c r="I416" s="252"/>
      <c r="J416" s="188"/>
      <c r="K416" s="252"/>
      <c r="L416" s="188"/>
      <c r="M416" s="52"/>
    </row>
    <row r="417" spans="1:13" ht="15.75">
      <c r="A417" s="50"/>
      <c r="B417" s="4"/>
      <c r="C417" s="188"/>
      <c r="D417" s="188"/>
      <c r="E417" s="52"/>
      <c r="F417" s="188"/>
      <c r="G417" s="39"/>
      <c r="H417" s="39"/>
      <c r="I417" s="252"/>
      <c r="J417" s="188"/>
      <c r="K417" s="252"/>
      <c r="L417" s="188"/>
      <c r="M417" s="52"/>
    </row>
    <row r="418" spans="1:13" ht="15.75">
      <c r="A418" s="50"/>
      <c r="B418" s="4"/>
      <c r="C418" s="188"/>
      <c r="D418" s="188"/>
      <c r="E418" s="52"/>
      <c r="F418" s="188"/>
      <c r="G418" s="39"/>
      <c r="H418" s="39"/>
      <c r="I418" s="252"/>
      <c r="J418" s="188"/>
      <c r="K418" s="252"/>
      <c r="L418" s="188"/>
      <c r="M418" s="52"/>
    </row>
    <row r="419" spans="1:13" ht="15.75">
      <c r="A419" s="50"/>
      <c r="B419" s="4"/>
      <c r="C419" s="188"/>
      <c r="D419" s="188"/>
      <c r="E419" s="52"/>
      <c r="F419" s="188"/>
      <c r="G419" s="39"/>
      <c r="H419" s="39"/>
      <c r="I419" s="252"/>
      <c r="J419" s="188"/>
      <c r="K419" s="252"/>
      <c r="L419" s="188"/>
      <c r="M419" s="52"/>
    </row>
    <row r="420" spans="1:13" ht="15.75">
      <c r="A420" s="50"/>
      <c r="B420" s="4"/>
      <c r="C420" s="188"/>
      <c r="D420" s="188"/>
      <c r="E420" s="52"/>
      <c r="F420" s="188"/>
      <c r="G420" s="39"/>
      <c r="H420" s="39"/>
      <c r="I420" s="252"/>
      <c r="J420" s="188"/>
      <c r="K420" s="252"/>
      <c r="L420" s="188"/>
      <c r="M420" s="52"/>
    </row>
    <row r="421" spans="1:13" ht="15.75">
      <c r="A421" s="50"/>
      <c r="B421" s="4"/>
      <c r="C421" s="188"/>
      <c r="D421" s="188"/>
      <c r="E421" s="52"/>
      <c r="F421" s="188"/>
      <c r="G421" s="39"/>
      <c r="H421" s="39"/>
      <c r="I421" s="252"/>
      <c r="J421" s="188"/>
      <c r="K421" s="252"/>
      <c r="L421" s="188"/>
      <c r="M421" s="52"/>
    </row>
    <row r="422" spans="1:13" ht="15.75">
      <c r="A422" s="50"/>
      <c r="B422" s="4"/>
      <c r="C422" s="188"/>
      <c r="D422" s="188"/>
      <c r="E422" s="52"/>
      <c r="F422" s="188"/>
      <c r="G422" s="39"/>
      <c r="H422" s="39"/>
      <c r="I422" s="252"/>
      <c r="J422" s="188"/>
      <c r="K422" s="252"/>
      <c r="L422" s="188"/>
      <c r="M422" s="52"/>
    </row>
    <row r="423" spans="1:13" ht="15.75">
      <c r="A423" s="50"/>
      <c r="B423" s="4"/>
      <c r="C423" s="188"/>
      <c r="D423" s="188"/>
      <c r="E423" s="52"/>
      <c r="F423" s="188"/>
      <c r="G423" s="39"/>
      <c r="H423" s="39"/>
      <c r="I423" s="252"/>
      <c r="J423" s="188"/>
      <c r="K423" s="252"/>
      <c r="L423" s="188"/>
      <c r="M423" s="52"/>
    </row>
    <row r="424" spans="1:13" ht="15.75">
      <c r="A424" s="50"/>
      <c r="B424" s="4"/>
      <c r="C424" s="188"/>
      <c r="D424" s="188"/>
      <c r="E424" s="52"/>
      <c r="F424" s="188"/>
      <c r="G424" s="39"/>
      <c r="H424" s="39"/>
      <c r="I424" s="252"/>
      <c r="J424" s="188"/>
      <c r="K424" s="252"/>
      <c r="L424" s="188"/>
      <c r="M424" s="52"/>
    </row>
    <row r="425" spans="1:13" ht="15.75">
      <c r="A425" s="50"/>
      <c r="B425" s="4"/>
      <c r="C425" s="188"/>
      <c r="D425" s="188"/>
      <c r="E425" s="52"/>
      <c r="F425" s="188"/>
      <c r="G425" s="39"/>
      <c r="H425" s="39"/>
      <c r="I425" s="252"/>
      <c r="J425" s="188"/>
      <c r="K425" s="252"/>
      <c r="L425" s="188"/>
      <c r="M425" s="52"/>
    </row>
    <row r="426" spans="1:13" ht="15.75">
      <c r="A426" s="50"/>
      <c r="B426" s="4"/>
      <c r="C426" s="188"/>
      <c r="D426" s="188"/>
      <c r="E426" s="52"/>
      <c r="F426" s="188"/>
      <c r="G426" s="39"/>
      <c r="H426" s="39"/>
      <c r="I426" s="252"/>
      <c r="J426" s="188"/>
      <c r="K426" s="252"/>
      <c r="L426" s="188"/>
      <c r="M426" s="52"/>
    </row>
    <row r="427" spans="1:13" ht="15.75">
      <c r="A427" s="50"/>
      <c r="B427" s="4"/>
      <c r="C427" s="188"/>
      <c r="D427" s="188"/>
      <c r="E427" s="52"/>
      <c r="F427" s="188"/>
      <c r="G427" s="39"/>
      <c r="H427" s="39"/>
      <c r="I427" s="252"/>
      <c r="J427" s="188"/>
      <c r="K427" s="252"/>
      <c r="L427" s="188"/>
      <c r="M427" s="52"/>
    </row>
    <row r="428" spans="1:13" ht="15.75">
      <c r="A428" s="50"/>
      <c r="B428" s="4"/>
      <c r="C428" s="188"/>
      <c r="D428" s="188"/>
      <c r="E428" s="52"/>
      <c r="F428" s="188"/>
      <c r="G428" s="39"/>
      <c r="H428" s="39"/>
      <c r="I428" s="252"/>
      <c r="J428" s="188"/>
      <c r="K428" s="252"/>
      <c r="L428" s="188"/>
      <c r="M428" s="52"/>
    </row>
    <row r="429" spans="1:13" ht="15.75">
      <c r="A429" s="50"/>
      <c r="B429" s="4"/>
      <c r="C429" s="188"/>
      <c r="D429" s="188"/>
      <c r="E429" s="52"/>
      <c r="F429" s="188"/>
      <c r="G429" s="39"/>
      <c r="H429" s="39"/>
      <c r="I429" s="252"/>
      <c r="J429" s="188"/>
      <c r="K429" s="252"/>
      <c r="L429" s="188"/>
      <c r="M429" s="52"/>
    </row>
    <row r="430" spans="1:13" ht="15.75">
      <c r="A430" s="50"/>
      <c r="B430" s="4"/>
      <c r="C430" s="188"/>
      <c r="D430" s="188"/>
      <c r="E430" s="52"/>
      <c r="F430" s="188"/>
      <c r="G430" s="39"/>
      <c r="H430" s="39"/>
      <c r="I430" s="252"/>
      <c r="J430" s="188"/>
      <c r="K430" s="252"/>
      <c r="L430" s="188"/>
      <c r="M430" s="52"/>
    </row>
    <row r="431" spans="1:13" ht="15.75">
      <c r="A431" s="50"/>
      <c r="B431" s="4"/>
      <c r="C431" s="188"/>
      <c r="D431" s="188"/>
      <c r="E431" s="52"/>
      <c r="F431" s="188"/>
      <c r="G431" s="39"/>
      <c r="H431" s="39"/>
      <c r="I431" s="252"/>
      <c r="J431" s="188"/>
      <c r="K431" s="252"/>
      <c r="L431" s="188"/>
      <c r="M431" s="52"/>
    </row>
    <row r="432" spans="1:13" ht="15.75">
      <c r="A432" s="50"/>
      <c r="B432" s="4"/>
      <c r="C432" s="188"/>
      <c r="D432" s="188"/>
      <c r="E432" s="52"/>
      <c r="F432" s="188"/>
      <c r="G432" s="39"/>
      <c r="H432" s="39"/>
      <c r="I432" s="252"/>
      <c r="J432" s="188"/>
      <c r="K432" s="252"/>
      <c r="L432" s="188"/>
      <c r="M432" s="52"/>
    </row>
    <row r="433" spans="1:13" ht="15.75">
      <c r="A433" s="50"/>
      <c r="B433" s="4"/>
      <c r="C433" s="188"/>
      <c r="D433" s="188"/>
      <c r="E433" s="52"/>
      <c r="F433" s="188"/>
      <c r="G433" s="39"/>
      <c r="H433" s="39"/>
      <c r="I433" s="252"/>
      <c r="J433" s="188"/>
      <c r="K433" s="252"/>
      <c r="L433" s="188"/>
      <c r="M433" s="52"/>
    </row>
    <row r="434" spans="1:13" ht="15.75">
      <c r="A434" s="50"/>
      <c r="B434" s="4"/>
      <c r="C434" s="188"/>
      <c r="D434" s="188"/>
      <c r="E434" s="52"/>
      <c r="F434" s="188"/>
      <c r="G434" s="39"/>
      <c r="H434" s="39"/>
      <c r="I434" s="252"/>
      <c r="J434" s="188"/>
      <c r="K434" s="252"/>
      <c r="L434" s="188"/>
      <c r="M434" s="52"/>
    </row>
    <row r="435" spans="1:13" ht="15.75">
      <c r="A435" s="50"/>
      <c r="B435" s="4"/>
      <c r="C435" s="188"/>
      <c r="D435" s="188"/>
      <c r="E435" s="52"/>
      <c r="F435" s="188"/>
      <c r="G435" s="39"/>
      <c r="H435" s="39"/>
      <c r="I435" s="252"/>
      <c r="J435" s="188"/>
      <c r="K435" s="252"/>
      <c r="L435" s="188"/>
      <c r="M435" s="52"/>
    </row>
    <row r="436" spans="1:13" ht="15.75">
      <c r="A436" s="50"/>
      <c r="B436" s="4"/>
      <c r="C436" s="188"/>
      <c r="D436" s="188"/>
      <c r="E436" s="52"/>
      <c r="F436" s="188"/>
      <c r="G436" s="39"/>
      <c r="H436" s="39"/>
      <c r="I436" s="252"/>
      <c r="J436" s="188"/>
      <c r="K436" s="252"/>
      <c r="L436" s="188"/>
      <c r="M436" s="52"/>
    </row>
    <row r="437" spans="1:13" ht="15.75">
      <c r="A437" s="50"/>
      <c r="B437" s="4"/>
      <c r="C437" s="188"/>
      <c r="D437" s="188"/>
      <c r="E437" s="52"/>
      <c r="F437" s="188"/>
      <c r="G437" s="39"/>
      <c r="H437" s="39"/>
      <c r="I437" s="252"/>
      <c r="J437" s="188"/>
      <c r="K437" s="252"/>
      <c r="L437" s="188"/>
      <c r="M437" s="52"/>
    </row>
    <row r="438" spans="1:13" ht="15.75">
      <c r="A438" s="50"/>
      <c r="B438" s="4"/>
      <c r="C438" s="188"/>
      <c r="D438" s="188"/>
      <c r="E438" s="52"/>
      <c r="F438" s="188"/>
      <c r="G438" s="39"/>
      <c r="H438" s="39"/>
      <c r="I438" s="252"/>
      <c r="J438" s="188"/>
      <c r="K438" s="252"/>
      <c r="L438" s="188"/>
      <c r="M438" s="52"/>
    </row>
    <row r="439" spans="1:13" ht="15.75">
      <c r="A439" s="50"/>
      <c r="B439" s="4"/>
      <c r="C439" s="188"/>
      <c r="D439" s="188"/>
      <c r="E439" s="52"/>
      <c r="F439" s="188"/>
      <c r="G439" s="39"/>
      <c r="H439" s="39"/>
      <c r="I439" s="252"/>
      <c r="J439" s="188"/>
      <c r="K439" s="252"/>
      <c r="L439" s="188"/>
      <c r="M439" s="52"/>
    </row>
    <row r="440" spans="1:13" ht="15.75">
      <c r="A440" s="50"/>
      <c r="B440" s="4"/>
      <c r="C440" s="188"/>
      <c r="D440" s="188"/>
      <c r="E440" s="52"/>
      <c r="F440" s="188"/>
      <c r="G440" s="39"/>
      <c r="H440" s="39"/>
      <c r="I440" s="252"/>
      <c r="J440" s="188"/>
      <c r="K440" s="252"/>
      <c r="L440" s="188"/>
      <c r="M440" s="52"/>
    </row>
    <row r="441" spans="1:13" ht="15.75">
      <c r="A441" s="50"/>
      <c r="B441" s="4"/>
      <c r="C441" s="188"/>
      <c r="D441" s="188"/>
      <c r="E441" s="52"/>
      <c r="F441" s="188"/>
      <c r="G441" s="39"/>
      <c r="H441" s="39"/>
      <c r="I441" s="252"/>
      <c r="J441" s="188"/>
      <c r="K441" s="252"/>
      <c r="L441" s="188"/>
      <c r="M441" s="52"/>
    </row>
    <row r="442" spans="1:13" ht="15.75">
      <c r="A442" s="50"/>
      <c r="B442" s="4"/>
      <c r="C442" s="188"/>
      <c r="D442" s="188"/>
      <c r="E442" s="52"/>
      <c r="F442" s="188"/>
      <c r="G442" s="39"/>
      <c r="H442" s="39"/>
      <c r="I442" s="252"/>
      <c r="J442" s="188"/>
      <c r="K442" s="252"/>
      <c r="L442" s="188"/>
      <c r="M442" s="52"/>
    </row>
    <row r="443" spans="1:13" ht="15.75">
      <c r="A443" s="50"/>
      <c r="B443" s="4"/>
      <c r="C443" s="188"/>
      <c r="D443" s="188"/>
      <c r="E443" s="52"/>
      <c r="F443" s="188"/>
      <c r="G443" s="39"/>
      <c r="H443" s="39"/>
      <c r="I443" s="252"/>
      <c r="J443" s="188"/>
      <c r="K443" s="252"/>
      <c r="L443" s="188"/>
      <c r="M443" s="52"/>
    </row>
    <row r="444" spans="1:13" ht="15.75">
      <c r="A444" s="50"/>
      <c r="B444" s="4"/>
      <c r="C444" s="188"/>
      <c r="D444" s="188"/>
      <c r="E444" s="52"/>
      <c r="F444" s="188"/>
      <c r="G444" s="39"/>
      <c r="H444" s="39"/>
      <c r="I444" s="252"/>
      <c r="J444" s="188"/>
      <c r="K444" s="252"/>
      <c r="L444" s="188"/>
      <c r="M444" s="52"/>
    </row>
    <row r="445" spans="1:13" ht="15.75">
      <c r="A445" s="50"/>
      <c r="B445" s="4"/>
      <c r="C445" s="188"/>
      <c r="D445" s="188"/>
      <c r="E445" s="52"/>
      <c r="F445" s="188"/>
      <c r="G445" s="39"/>
      <c r="H445" s="39"/>
      <c r="I445" s="252"/>
      <c r="J445" s="188"/>
      <c r="K445" s="252"/>
      <c r="L445" s="188"/>
      <c r="M445" s="52"/>
    </row>
    <row r="446" spans="1:13" ht="15.75">
      <c r="A446" s="50"/>
      <c r="B446" s="4"/>
      <c r="C446" s="188"/>
      <c r="D446" s="188"/>
      <c r="E446" s="52"/>
      <c r="F446" s="188"/>
      <c r="G446" s="39"/>
      <c r="H446" s="39"/>
      <c r="I446" s="252"/>
      <c r="J446" s="188"/>
      <c r="K446" s="252"/>
      <c r="L446" s="188"/>
      <c r="M446" s="52"/>
    </row>
    <row r="447" spans="1:13" ht="15.75">
      <c r="A447" s="50"/>
      <c r="B447" s="4"/>
      <c r="C447" s="188"/>
      <c r="D447" s="188"/>
      <c r="E447" s="52"/>
      <c r="F447" s="188"/>
      <c r="G447" s="39"/>
      <c r="H447" s="39"/>
      <c r="I447" s="252"/>
      <c r="J447" s="188"/>
      <c r="K447" s="252"/>
      <c r="L447" s="188"/>
      <c r="M447" s="52"/>
    </row>
    <row r="448" spans="1:13" ht="15.75">
      <c r="A448" s="50"/>
      <c r="B448" s="4"/>
      <c r="C448" s="188"/>
      <c r="D448" s="188"/>
      <c r="E448" s="52"/>
      <c r="F448" s="188"/>
      <c r="G448" s="39"/>
      <c r="H448" s="39"/>
      <c r="I448" s="252"/>
      <c r="J448" s="188"/>
      <c r="K448" s="252"/>
      <c r="L448" s="188"/>
      <c r="M448" s="52"/>
    </row>
    <row r="449" spans="1:13" ht="15.75">
      <c r="A449" s="50"/>
      <c r="B449" s="4"/>
      <c r="C449" s="188"/>
      <c r="D449" s="188"/>
      <c r="E449" s="52"/>
      <c r="F449" s="188"/>
      <c r="G449" s="39"/>
      <c r="H449" s="39"/>
      <c r="I449" s="252"/>
      <c r="J449" s="188"/>
      <c r="K449" s="252"/>
      <c r="L449" s="188"/>
      <c r="M449" s="52"/>
    </row>
    <row r="450" spans="1:13" ht="15.75">
      <c r="A450" s="50"/>
      <c r="B450" s="4"/>
      <c r="C450" s="188"/>
      <c r="D450" s="188"/>
      <c r="E450" s="52"/>
      <c r="F450" s="188"/>
      <c r="G450" s="39"/>
      <c r="H450" s="39"/>
      <c r="I450" s="252"/>
      <c r="J450" s="188"/>
      <c r="K450" s="252"/>
      <c r="L450" s="188"/>
      <c r="M450" s="52"/>
    </row>
    <row r="451" spans="1:13" ht="15.75">
      <c r="A451" s="50"/>
      <c r="B451" s="4"/>
      <c r="C451" s="188"/>
      <c r="D451" s="188"/>
      <c r="E451" s="52"/>
      <c r="F451" s="188"/>
      <c r="G451" s="39"/>
      <c r="H451" s="39"/>
      <c r="I451" s="252"/>
      <c r="J451" s="188"/>
      <c r="K451" s="252"/>
      <c r="L451" s="188"/>
      <c r="M451" s="52"/>
    </row>
    <row r="452" spans="1:13" ht="15.75">
      <c r="A452" s="50"/>
      <c r="B452" s="4"/>
      <c r="C452" s="188"/>
      <c r="D452" s="188"/>
      <c r="E452" s="52"/>
      <c r="F452" s="188"/>
      <c r="G452" s="39"/>
      <c r="H452" s="39"/>
      <c r="I452" s="252"/>
      <c r="J452" s="188"/>
      <c r="K452" s="252"/>
      <c r="L452" s="188"/>
      <c r="M452" s="52"/>
    </row>
    <row r="453" spans="1:13" ht="15.75">
      <c r="A453" s="50"/>
      <c r="B453" s="4"/>
      <c r="C453" s="188"/>
      <c r="D453" s="188"/>
      <c r="E453" s="52"/>
      <c r="F453" s="188"/>
      <c r="G453" s="39"/>
      <c r="H453" s="39"/>
      <c r="I453" s="252"/>
      <c r="J453" s="188"/>
      <c r="K453" s="252"/>
      <c r="L453" s="188"/>
      <c r="M453" s="52"/>
    </row>
    <row r="454" spans="1:13" ht="15.75">
      <c r="A454" s="50"/>
      <c r="B454" s="4"/>
      <c r="C454" s="188"/>
      <c r="D454" s="188"/>
      <c r="E454" s="52"/>
      <c r="F454" s="188"/>
      <c r="G454" s="39"/>
      <c r="H454" s="39"/>
      <c r="I454" s="252"/>
      <c r="J454" s="188"/>
      <c r="K454" s="252"/>
      <c r="L454" s="188"/>
      <c r="M454" s="52"/>
    </row>
    <row r="455" spans="1:13" ht="15.75">
      <c r="A455" s="50"/>
      <c r="B455" s="4"/>
      <c r="C455" s="188"/>
      <c r="D455" s="188"/>
      <c r="E455" s="52"/>
      <c r="F455" s="188"/>
      <c r="G455" s="39"/>
      <c r="H455" s="39"/>
      <c r="I455" s="252"/>
      <c r="J455" s="188"/>
      <c r="K455" s="252"/>
      <c r="L455" s="188"/>
      <c r="M455" s="52"/>
    </row>
    <row r="456" spans="1:13" ht="15.75">
      <c r="A456" s="50"/>
      <c r="B456" s="4"/>
      <c r="C456" s="188"/>
      <c r="D456" s="188"/>
      <c r="E456" s="52"/>
      <c r="F456" s="188"/>
      <c r="G456" s="39"/>
      <c r="H456" s="39"/>
      <c r="I456" s="252"/>
      <c r="J456" s="188"/>
      <c r="K456" s="252"/>
      <c r="L456" s="188"/>
      <c r="M456" s="52"/>
    </row>
    <row r="457" spans="1:13" ht="15.75">
      <c r="A457" s="50"/>
      <c r="B457" s="4"/>
      <c r="C457" s="188"/>
      <c r="D457" s="188"/>
      <c r="E457" s="52"/>
      <c r="F457" s="188"/>
      <c r="G457" s="39"/>
      <c r="H457" s="39"/>
      <c r="I457" s="252"/>
      <c r="J457" s="188"/>
      <c r="K457" s="252"/>
      <c r="L457" s="188"/>
      <c r="M457" s="52"/>
    </row>
    <row r="458" spans="1:13" ht="15.75">
      <c r="A458" s="50"/>
      <c r="B458" s="4"/>
      <c r="C458" s="188"/>
      <c r="D458" s="188"/>
      <c r="E458" s="52"/>
      <c r="F458" s="188"/>
      <c r="G458" s="39"/>
      <c r="H458" s="39"/>
      <c r="I458" s="252"/>
      <c r="J458" s="188"/>
      <c r="K458" s="252"/>
      <c r="L458" s="188"/>
      <c r="M458" s="52"/>
    </row>
    <row r="459" spans="1:13" ht="15.75">
      <c r="A459" s="50"/>
      <c r="B459" s="4"/>
      <c r="C459" s="188"/>
      <c r="D459" s="188"/>
      <c r="E459" s="52"/>
      <c r="F459" s="188"/>
      <c r="G459" s="39"/>
      <c r="H459" s="39"/>
      <c r="I459" s="252"/>
      <c r="J459" s="188"/>
      <c r="K459" s="252"/>
      <c r="L459" s="188"/>
      <c r="M459" s="52"/>
    </row>
    <row r="460" spans="1:13" ht="15.75">
      <c r="A460" s="50"/>
      <c r="B460" s="4"/>
      <c r="C460" s="188"/>
      <c r="D460" s="188"/>
      <c r="E460" s="52"/>
      <c r="F460" s="188"/>
      <c r="G460" s="39"/>
      <c r="H460" s="39"/>
      <c r="I460" s="252"/>
      <c r="J460" s="188"/>
      <c r="K460" s="252"/>
      <c r="L460" s="188"/>
      <c r="M460" s="52"/>
    </row>
    <row r="461" spans="1:13" ht="15.75">
      <c r="A461" s="50"/>
      <c r="B461" s="4"/>
      <c r="C461" s="188"/>
      <c r="D461" s="188"/>
      <c r="E461" s="52"/>
      <c r="F461" s="188"/>
      <c r="G461" s="39"/>
      <c r="H461" s="39"/>
      <c r="I461" s="252"/>
      <c r="J461" s="188"/>
      <c r="K461" s="252"/>
      <c r="L461" s="188"/>
      <c r="M461" s="52"/>
    </row>
    <row r="462" spans="1:13" ht="15.75">
      <c r="A462" s="50"/>
      <c r="B462" s="4"/>
      <c r="C462" s="188"/>
      <c r="D462" s="188"/>
      <c r="E462" s="52"/>
      <c r="F462" s="188"/>
      <c r="G462" s="39"/>
      <c r="H462" s="39"/>
      <c r="I462" s="252"/>
      <c r="J462" s="188"/>
      <c r="K462" s="252"/>
      <c r="L462" s="188"/>
      <c r="M462" s="52"/>
    </row>
    <row r="463" spans="1:13" ht="15.75">
      <c r="A463" s="50"/>
      <c r="B463" s="4"/>
      <c r="C463" s="188"/>
      <c r="D463" s="188"/>
      <c r="E463" s="52"/>
      <c r="F463" s="188"/>
      <c r="G463" s="39"/>
      <c r="H463" s="39"/>
      <c r="I463" s="252"/>
      <c r="J463" s="188"/>
      <c r="K463" s="252"/>
      <c r="L463" s="188"/>
      <c r="M463" s="52"/>
    </row>
    <row r="464" spans="1:13" ht="15.75">
      <c r="A464" s="50"/>
      <c r="B464" s="4"/>
      <c r="C464" s="188"/>
      <c r="D464" s="188"/>
      <c r="E464" s="52"/>
      <c r="F464" s="188"/>
      <c r="G464" s="39"/>
      <c r="H464" s="39"/>
      <c r="I464" s="252"/>
      <c r="J464" s="188"/>
      <c r="K464" s="252"/>
      <c r="L464" s="188"/>
      <c r="M464" s="52"/>
    </row>
    <row r="465" spans="1:13" ht="15.75">
      <c r="A465" s="50"/>
      <c r="B465" s="4"/>
      <c r="C465" s="188"/>
      <c r="D465" s="188"/>
      <c r="E465" s="52"/>
      <c r="F465" s="188"/>
      <c r="G465" s="39"/>
      <c r="H465" s="39"/>
      <c r="I465" s="252"/>
      <c r="J465" s="188"/>
      <c r="K465" s="252"/>
      <c r="L465" s="188"/>
      <c r="M465" s="52"/>
    </row>
    <row r="466" spans="1:13" ht="15.75">
      <c r="A466" s="50"/>
      <c r="B466" s="4"/>
      <c r="C466" s="188"/>
      <c r="D466" s="188"/>
      <c r="E466" s="52"/>
      <c r="F466" s="188"/>
      <c r="G466" s="39"/>
      <c r="H466" s="39"/>
      <c r="I466" s="252"/>
      <c r="J466" s="188"/>
      <c r="K466" s="252"/>
      <c r="L466" s="188"/>
      <c r="M466" s="52"/>
    </row>
    <row r="467" spans="1:13" ht="15.75">
      <c r="A467" s="50"/>
      <c r="B467" s="4"/>
      <c r="C467" s="188"/>
      <c r="D467" s="188"/>
      <c r="E467" s="52"/>
      <c r="F467" s="188"/>
      <c r="G467" s="39"/>
      <c r="H467" s="39"/>
      <c r="I467" s="252"/>
      <c r="J467" s="188"/>
      <c r="K467" s="252"/>
      <c r="L467" s="188"/>
      <c r="M467" s="52"/>
    </row>
    <row r="468" spans="1:13" ht="15.75">
      <c r="A468" s="50"/>
      <c r="B468" s="4"/>
      <c r="C468" s="188"/>
      <c r="D468" s="188"/>
      <c r="E468" s="52"/>
      <c r="F468" s="188"/>
      <c r="G468" s="39"/>
      <c r="H468" s="39"/>
      <c r="I468" s="252"/>
      <c r="J468" s="188"/>
      <c r="K468" s="252"/>
      <c r="L468" s="188"/>
      <c r="M468" s="52"/>
    </row>
    <row r="469" spans="1:13" ht="15.75">
      <c r="A469" s="50"/>
      <c r="B469" s="4"/>
      <c r="C469" s="188"/>
      <c r="D469" s="188"/>
      <c r="E469" s="52"/>
      <c r="F469" s="188"/>
      <c r="G469" s="39"/>
      <c r="H469" s="39"/>
      <c r="I469" s="252"/>
      <c r="J469" s="188"/>
      <c r="K469" s="252"/>
      <c r="L469" s="188"/>
      <c r="M469" s="52"/>
    </row>
    <row r="470" spans="1:13" ht="15.75">
      <c r="A470" s="50"/>
      <c r="B470" s="4"/>
      <c r="C470" s="188"/>
      <c r="D470" s="188"/>
      <c r="E470" s="52"/>
      <c r="F470" s="188"/>
      <c r="G470" s="39"/>
      <c r="H470" s="39"/>
      <c r="I470" s="252"/>
      <c r="J470" s="188"/>
      <c r="K470" s="252"/>
      <c r="L470" s="188"/>
      <c r="M470" s="52"/>
    </row>
    <row r="471" spans="1:13" ht="15.75">
      <c r="A471" s="50"/>
      <c r="B471" s="4"/>
      <c r="C471" s="188"/>
      <c r="D471" s="188"/>
      <c r="E471" s="52"/>
      <c r="F471" s="188"/>
      <c r="G471" s="39"/>
      <c r="H471" s="39"/>
      <c r="I471" s="252"/>
      <c r="J471" s="188"/>
      <c r="K471" s="252"/>
      <c r="L471" s="188"/>
      <c r="M471" s="52"/>
    </row>
    <row r="472" spans="1:13" ht="15.75">
      <c r="A472" s="50"/>
      <c r="B472" s="4"/>
      <c r="C472" s="188"/>
      <c r="D472" s="188"/>
      <c r="E472" s="52"/>
      <c r="F472" s="188"/>
      <c r="G472" s="39"/>
      <c r="H472" s="39"/>
      <c r="I472" s="252"/>
      <c r="J472" s="188"/>
      <c r="K472" s="252"/>
      <c r="L472" s="188"/>
      <c r="M472" s="52"/>
    </row>
    <row r="473" spans="1:13" ht="15.75">
      <c r="A473" s="50"/>
      <c r="B473" s="4"/>
      <c r="C473" s="188"/>
      <c r="D473" s="188"/>
      <c r="E473" s="52"/>
      <c r="F473" s="188"/>
      <c r="G473" s="39"/>
      <c r="H473" s="39"/>
      <c r="I473" s="252"/>
      <c r="J473" s="188"/>
      <c r="K473" s="252"/>
      <c r="L473" s="188"/>
      <c r="M473" s="52"/>
    </row>
    <row r="474" spans="1:13" ht="15.75">
      <c r="A474" s="50"/>
      <c r="B474" s="4"/>
      <c r="C474" s="188"/>
      <c r="D474" s="188"/>
      <c r="E474" s="52"/>
      <c r="F474" s="188"/>
      <c r="G474" s="39"/>
      <c r="H474" s="39"/>
      <c r="I474" s="252"/>
      <c r="J474" s="188"/>
      <c r="K474" s="252"/>
      <c r="L474" s="188"/>
      <c r="M474" s="52"/>
    </row>
    <row r="475" spans="1:13" ht="15.75">
      <c r="A475" s="50"/>
      <c r="B475" s="4"/>
      <c r="C475" s="188"/>
      <c r="D475" s="188"/>
      <c r="E475" s="52"/>
      <c r="F475" s="188"/>
      <c r="G475" s="39"/>
      <c r="H475" s="39"/>
      <c r="I475" s="252"/>
      <c r="J475" s="188"/>
      <c r="K475" s="252"/>
      <c r="L475" s="188"/>
      <c r="M475" s="52"/>
    </row>
    <row r="476" spans="1:13" ht="15.75">
      <c r="A476" s="50"/>
      <c r="B476" s="4"/>
      <c r="C476" s="188"/>
      <c r="D476" s="188"/>
      <c r="E476" s="52"/>
      <c r="F476" s="188"/>
      <c r="G476" s="39"/>
      <c r="H476" s="39"/>
      <c r="I476" s="252"/>
      <c r="J476" s="188"/>
      <c r="K476" s="252"/>
      <c r="L476" s="188"/>
      <c r="M476" s="52"/>
    </row>
    <row r="477" spans="1:13" ht="15.75">
      <c r="A477" s="50"/>
      <c r="B477" s="4"/>
      <c r="C477" s="188"/>
      <c r="D477" s="188"/>
      <c r="E477" s="52"/>
      <c r="F477" s="188"/>
      <c r="G477" s="39"/>
      <c r="H477" s="39"/>
      <c r="I477" s="252"/>
      <c r="J477" s="188"/>
      <c r="K477" s="252"/>
      <c r="L477" s="188"/>
      <c r="M477" s="52"/>
    </row>
    <row r="478" spans="1:13" ht="15.75">
      <c r="A478" s="50"/>
      <c r="B478" s="4"/>
      <c r="C478" s="188"/>
      <c r="D478" s="188"/>
      <c r="E478" s="52"/>
      <c r="F478" s="188"/>
      <c r="G478" s="39"/>
      <c r="H478" s="39"/>
      <c r="I478" s="252"/>
      <c r="J478" s="188"/>
      <c r="K478" s="252"/>
      <c r="L478" s="188"/>
      <c r="M478" s="52"/>
    </row>
    <row r="479" spans="1:13" ht="15.75">
      <c r="A479" s="50"/>
      <c r="B479" s="4"/>
      <c r="C479" s="188"/>
      <c r="D479" s="188"/>
      <c r="E479" s="52"/>
      <c r="F479" s="188"/>
      <c r="G479" s="39"/>
      <c r="H479" s="39"/>
      <c r="I479" s="252"/>
      <c r="J479" s="188"/>
      <c r="K479" s="252"/>
      <c r="L479" s="188"/>
      <c r="M479" s="52"/>
    </row>
    <row r="480" spans="1:13" ht="15.75">
      <c r="A480" s="50"/>
      <c r="B480" s="4"/>
      <c r="C480" s="188"/>
      <c r="D480" s="188"/>
      <c r="E480" s="52"/>
      <c r="F480" s="188"/>
      <c r="G480" s="39"/>
      <c r="H480" s="39"/>
      <c r="I480" s="252"/>
      <c r="J480" s="188"/>
      <c r="K480" s="252"/>
      <c r="L480" s="188"/>
      <c r="M480" s="52"/>
    </row>
    <row r="481" spans="1:13" ht="15.75">
      <c r="A481" s="50"/>
      <c r="B481" s="4"/>
      <c r="C481" s="188"/>
      <c r="D481" s="188"/>
      <c r="E481" s="52"/>
      <c r="F481" s="188"/>
      <c r="G481" s="39"/>
      <c r="H481" s="39"/>
      <c r="I481" s="252"/>
      <c r="J481" s="188"/>
      <c r="K481" s="252"/>
      <c r="L481" s="188"/>
      <c r="M481" s="52"/>
    </row>
    <row r="482" spans="1:13" ht="15.75">
      <c r="A482" s="50"/>
      <c r="B482" s="4"/>
      <c r="C482" s="188"/>
      <c r="D482" s="188"/>
      <c r="E482" s="52"/>
      <c r="F482" s="188"/>
      <c r="G482" s="39"/>
      <c r="H482" s="39"/>
      <c r="I482" s="252"/>
      <c r="J482" s="188"/>
      <c r="K482" s="252"/>
      <c r="L482" s="188"/>
      <c r="M482" s="52"/>
    </row>
    <row r="483" spans="1:13" ht="15.75">
      <c r="A483" s="50"/>
      <c r="B483" s="4"/>
      <c r="C483" s="188"/>
      <c r="D483" s="188"/>
      <c r="E483" s="52"/>
      <c r="F483" s="188"/>
      <c r="G483" s="39"/>
      <c r="H483" s="39"/>
      <c r="I483" s="252"/>
      <c r="J483" s="188"/>
      <c r="K483" s="252"/>
      <c r="L483" s="188"/>
      <c r="M483" s="52"/>
    </row>
    <row r="484" spans="1:13" ht="15.75">
      <c r="A484" s="50"/>
      <c r="B484" s="4"/>
      <c r="C484" s="188"/>
      <c r="D484" s="188"/>
      <c r="E484" s="52"/>
      <c r="F484" s="188"/>
      <c r="G484" s="39"/>
      <c r="H484" s="39"/>
      <c r="I484" s="252"/>
      <c r="J484" s="188"/>
      <c r="K484" s="252"/>
      <c r="L484" s="188"/>
      <c r="M484" s="52"/>
    </row>
    <row r="485" spans="1:13" ht="15.75">
      <c r="A485" s="50"/>
      <c r="B485" s="4"/>
      <c r="C485" s="188"/>
      <c r="D485" s="188"/>
      <c r="E485" s="52"/>
      <c r="F485" s="188"/>
      <c r="G485" s="39"/>
      <c r="H485" s="39"/>
      <c r="I485" s="252"/>
      <c r="J485" s="188"/>
      <c r="K485" s="252"/>
      <c r="L485" s="188"/>
      <c r="M485" s="52"/>
    </row>
    <row r="486" spans="1:13" ht="15.75">
      <c r="A486" s="50"/>
      <c r="B486" s="4"/>
      <c r="C486" s="188"/>
      <c r="D486" s="188"/>
      <c r="E486" s="52"/>
      <c r="F486" s="188"/>
      <c r="G486" s="39"/>
      <c r="H486" s="39"/>
      <c r="I486" s="252"/>
      <c r="J486" s="188"/>
      <c r="K486" s="252"/>
      <c r="L486" s="188"/>
      <c r="M486" s="52"/>
    </row>
    <row r="487" spans="1:13" ht="15.75">
      <c r="A487" s="50"/>
      <c r="B487" s="4"/>
      <c r="C487" s="188"/>
      <c r="D487" s="188"/>
      <c r="E487" s="52"/>
      <c r="F487" s="188"/>
      <c r="G487" s="39"/>
      <c r="H487" s="39"/>
      <c r="I487" s="252"/>
      <c r="J487" s="188"/>
      <c r="K487" s="252"/>
      <c r="L487" s="188"/>
      <c r="M487" s="52"/>
    </row>
    <row r="488" spans="1:13" ht="15.75">
      <c r="A488" s="50"/>
      <c r="B488" s="4"/>
      <c r="C488" s="188"/>
      <c r="D488" s="188"/>
      <c r="E488" s="52"/>
      <c r="F488" s="188"/>
      <c r="G488" s="39"/>
      <c r="H488" s="39"/>
      <c r="I488" s="252"/>
      <c r="J488" s="188"/>
      <c r="K488" s="252"/>
      <c r="L488" s="188"/>
      <c r="M488" s="52"/>
    </row>
    <row r="489" spans="1:13" ht="15.75">
      <c r="A489" s="50"/>
      <c r="B489" s="4"/>
      <c r="C489" s="188"/>
      <c r="D489" s="188"/>
      <c r="E489" s="52"/>
      <c r="F489" s="188"/>
      <c r="G489" s="39"/>
      <c r="H489" s="39"/>
      <c r="I489" s="252"/>
      <c r="J489" s="188"/>
      <c r="K489" s="252"/>
      <c r="L489" s="188"/>
      <c r="M489" s="52"/>
    </row>
    <row r="490" spans="1:13" ht="15.75">
      <c r="A490" s="50"/>
      <c r="B490" s="4"/>
      <c r="C490" s="188"/>
      <c r="D490" s="188"/>
      <c r="E490" s="52"/>
      <c r="F490" s="188"/>
      <c r="G490" s="39"/>
      <c r="H490" s="39"/>
      <c r="I490" s="252"/>
      <c r="J490" s="188"/>
      <c r="K490" s="252"/>
      <c r="L490" s="188"/>
      <c r="M490" s="52"/>
    </row>
    <row r="491" spans="1:13" ht="15.75">
      <c r="A491" s="50"/>
      <c r="B491" s="4"/>
      <c r="C491" s="188"/>
      <c r="D491" s="188"/>
      <c r="E491" s="52"/>
      <c r="F491" s="188"/>
      <c r="G491" s="39"/>
      <c r="H491" s="39"/>
      <c r="I491" s="252"/>
      <c r="J491" s="188"/>
      <c r="K491" s="252"/>
      <c r="L491" s="188"/>
      <c r="M491" s="52"/>
    </row>
    <row r="492" spans="1:13" ht="15.75">
      <c r="A492" s="50"/>
      <c r="B492" s="4"/>
      <c r="C492" s="188"/>
      <c r="D492" s="188"/>
      <c r="E492" s="52"/>
      <c r="F492" s="188"/>
      <c r="G492" s="39"/>
      <c r="H492" s="39"/>
      <c r="I492" s="252"/>
      <c r="J492" s="188"/>
      <c r="K492" s="252"/>
      <c r="L492" s="188"/>
      <c r="M492" s="52"/>
    </row>
    <row r="493" spans="1:13" ht="15.75">
      <c r="A493" s="50"/>
      <c r="B493" s="4"/>
      <c r="C493" s="188"/>
      <c r="D493" s="188"/>
      <c r="E493" s="52"/>
      <c r="F493" s="188"/>
      <c r="G493" s="39"/>
      <c r="H493" s="39"/>
      <c r="I493" s="252"/>
      <c r="J493" s="188"/>
      <c r="K493" s="252"/>
      <c r="L493" s="188"/>
      <c r="M493" s="52"/>
    </row>
    <row r="494" spans="1:13" ht="15.75">
      <c r="A494" s="50"/>
      <c r="B494" s="4"/>
      <c r="C494" s="188"/>
      <c r="D494" s="188"/>
      <c r="E494" s="52"/>
      <c r="F494" s="188"/>
      <c r="G494" s="39"/>
      <c r="H494" s="39"/>
      <c r="I494" s="252"/>
      <c r="J494" s="188"/>
      <c r="K494" s="252"/>
      <c r="L494" s="188"/>
      <c r="M494" s="52"/>
    </row>
    <row r="495" spans="1:13" ht="15.75">
      <c r="A495" s="50"/>
      <c r="B495" s="4"/>
      <c r="C495" s="188"/>
      <c r="D495" s="188"/>
      <c r="E495" s="52"/>
      <c r="F495" s="188"/>
      <c r="G495" s="39"/>
      <c r="H495" s="39"/>
      <c r="I495" s="252"/>
      <c r="J495" s="188"/>
      <c r="K495" s="252"/>
      <c r="L495" s="188"/>
      <c r="M495" s="52"/>
    </row>
    <row r="496" spans="1:13" ht="15.75">
      <c r="A496" s="50"/>
      <c r="B496" s="4"/>
      <c r="C496" s="188"/>
      <c r="D496" s="188"/>
      <c r="E496" s="52"/>
      <c r="F496" s="188"/>
      <c r="G496" s="39"/>
      <c r="H496" s="39"/>
      <c r="I496" s="252"/>
      <c r="J496" s="188"/>
      <c r="K496" s="252"/>
      <c r="L496" s="188"/>
      <c r="M496" s="52"/>
    </row>
    <row r="497" spans="1:13" ht="15.75">
      <c r="A497" s="50"/>
      <c r="B497" s="4"/>
      <c r="C497" s="188"/>
      <c r="D497" s="188"/>
      <c r="E497" s="52"/>
      <c r="F497" s="188"/>
      <c r="G497" s="39"/>
      <c r="H497" s="39"/>
      <c r="I497" s="252"/>
      <c r="J497" s="188"/>
      <c r="K497" s="252"/>
      <c r="L497" s="188"/>
      <c r="M497" s="52"/>
    </row>
    <row r="498" spans="1:13" ht="15.75">
      <c r="A498" s="50"/>
      <c r="B498" s="4"/>
      <c r="C498" s="188"/>
      <c r="D498" s="188"/>
      <c r="E498" s="52"/>
      <c r="F498" s="188"/>
      <c r="G498" s="39"/>
      <c r="H498" s="39"/>
      <c r="I498" s="252"/>
      <c r="J498" s="188"/>
      <c r="K498" s="252"/>
      <c r="L498" s="188"/>
      <c r="M498" s="52"/>
    </row>
    <row r="499" spans="1:13" ht="15.75">
      <c r="A499" s="50"/>
      <c r="B499" s="4"/>
      <c r="C499" s="188"/>
      <c r="D499" s="188"/>
      <c r="E499" s="52"/>
      <c r="F499" s="188"/>
      <c r="G499" s="39"/>
      <c r="H499" s="39"/>
      <c r="I499" s="252"/>
      <c r="J499" s="188"/>
      <c r="K499" s="252"/>
      <c r="L499" s="188"/>
      <c r="M499" s="52"/>
    </row>
    <row r="500" spans="1:13" ht="15.75">
      <c r="A500" s="50"/>
      <c r="B500" s="4"/>
      <c r="C500" s="188"/>
      <c r="D500" s="188"/>
      <c r="E500" s="52"/>
      <c r="F500" s="188"/>
      <c r="G500" s="39"/>
      <c r="H500" s="39"/>
      <c r="I500" s="252"/>
      <c r="J500" s="188"/>
      <c r="K500" s="252"/>
      <c r="L500" s="188"/>
      <c r="M500" s="52"/>
    </row>
    <row r="501" spans="1:13" ht="15.75">
      <c r="A501" s="50"/>
      <c r="B501" s="4"/>
      <c r="C501" s="188"/>
      <c r="D501" s="188"/>
      <c r="E501" s="52"/>
      <c r="F501" s="188"/>
      <c r="G501" s="39"/>
      <c r="H501" s="39"/>
      <c r="I501" s="252"/>
      <c r="J501" s="188"/>
      <c r="K501" s="252"/>
      <c r="L501" s="188"/>
      <c r="M501" s="52"/>
    </row>
    <row r="502" spans="1:13" ht="15.75">
      <c r="A502" s="50"/>
      <c r="B502" s="4"/>
      <c r="C502" s="188"/>
      <c r="D502" s="188"/>
      <c r="E502" s="52"/>
      <c r="F502" s="188"/>
      <c r="G502" s="39"/>
      <c r="H502" s="39"/>
      <c r="I502" s="252"/>
      <c r="J502" s="188"/>
      <c r="K502" s="252"/>
      <c r="L502" s="188"/>
      <c r="M502" s="52"/>
    </row>
    <row r="503" spans="1:13" ht="15.75">
      <c r="A503" s="50"/>
      <c r="B503" s="4"/>
      <c r="C503" s="188"/>
      <c r="D503" s="188"/>
      <c r="E503" s="52"/>
      <c r="F503" s="188"/>
      <c r="G503" s="39"/>
      <c r="H503" s="39"/>
      <c r="I503" s="252"/>
      <c r="J503" s="188"/>
      <c r="K503" s="252"/>
      <c r="L503" s="188"/>
      <c r="M503" s="52"/>
    </row>
    <row r="504" spans="1:13" ht="15.75">
      <c r="A504" s="50"/>
      <c r="B504" s="4"/>
      <c r="C504" s="188"/>
      <c r="D504" s="188"/>
      <c r="E504" s="52"/>
      <c r="F504" s="188"/>
      <c r="G504" s="39"/>
      <c r="H504" s="39"/>
      <c r="I504" s="252"/>
      <c r="J504" s="188"/>
      <c r="K504" s="252"/>
      <c r="L504" s="188"/>
      <c r="M504" s="52"/>
    </row>
    <row r="505" spans="1:13" ht="15.75">
      <c r="A505" s="50"/>
      <c r="B505" s="4"/>
      <c r="C505" s="188"/>
      <c r="D505" s="188"/>
      <c r="E505" s="52"/>
      <c r="F505" s="188"/>
      <c r="G505" s="39"/>
      <c r="H505" s="39"/>
      <c r="I505" s="252"/>
      <c r="J505" s="188"/>
      <c r="K505" s="252"/>
      <c r="L505" s="188"/>
      <c r="M505" s="52"/>
    </row>
    <row r="506" spans="1:13" ht="15.75">
      <c r="A506" s="50"/>
      <c r="B506" s="4"/>
      <c r="C506" s="188"/>
      <c r="D506" s="188"/>
      <c r="E506" s="52"/>
      <c r="F506" s="188"/>
      <c r="G506" s="39"/>
      <c r="H506" s="39"/>
      <c r="I506" s="252"/>
      <c r="J506" s="188"/>
      <c r="K506" s="252"/>
      <c r="L506" s="188"/>
      <c r="M506" s="52"/>
    </row>
    <row r="507" spans="1:13" ht="15.75">
      <c r="A507" s="50"/>
      <c r="B507" s="4"/>
      <c r="C507" s="188"/>
      <c r="D507" s="188"/>
      <c r="E507" s="52"/>
      <c r="F507" s="188"/>
      <c r="G507" s="39"/>
      <c r="H507" s="39"/>
      <c r="I507" s="252"/>
      <c r="J507" s="188"/>
      <c r="K507" s="252"/>
      <c r="L507" s="188"/>
      <c r="M507" s="52"/>
    </row>
    <row r="508" spans="1:13" ht="15.75">
      <c r="A508" s="50"/>
      <c r="B508" s="4"/>
      <c r="C508" s="188"/>
      <c r="D508" s="188"/>
      <c r="E508" s="52"/>
      <c r="F508" s="188"/>
      <c r="G508" s="39"/>
      <c r="H508" s="39"/>
      <c r="I508" s="252"/>
      <c r="J508" s="188"/>
      <c r="K508" s="252"/>
      <c r="L508" s="188"/>
      <c r="M508" s="52"/>
    </row>
    <row r="509" spans="1:13" ht="15.75">
      <c r="A509" s="50"/>
      <c r="B509" s="4"/>
      <c r="C509" s="188"/>
      <c r="D509" s="188"/>
      <c r="E509" s="52"/>
      <c r="F509" s="188"/>
      <c r="G509" s="39"/>
      <c r="H509" s="39"/>
      <c r="I509" s="252"/>
      <c r="J509" s="188"/>
      <c r="K509" s="252"/>
      <c r="L509" s="188"/>
      <c r="M509" s="52"/>
    </row>
    <row r="510" spans="1:13" ht="15.75">
      <c r="A510" s="50"/>
      <c r="B510" s="4"/>
      <c r="C510" s="188"/>
      <c r="D510" s="188"/>
      <c r="E510" s="52"/>
      <c r="F510" s="188"/>
      <c r="G510" s="39"/>
      <c r="H510" s="39"/>
      <c r="I510" s="252"/>
      <c r="J510" s="188"/>
      <c r="K510" s="252"/>
      <c r="L510" s="188"/>
      <c r="M510" s="52"/>
    </row>
    <row r="511" spans="1:13" ht="15.75">
      <c r="A511" s="50"/>
      <c r="B511" s="4"/>
      <c r="C511" s="188"/>
      <c r="D511" s="188"/>
      <c r="E511" s="52"/>
      <c r="F511" s="188"/>
      <c r="G511" s="39"/>
      <c r="H511" s="39"/>
      <c r="I511" s="252"/>
      <c r="J511" s="188"/>
      <c r="K511" s="252"/>
      <c r="L511" s="188"/>
      <c r="M511" s="52"/>
    </row>
    <row r="512" spans="1:13" ht="15.75">
      <c r="A512" s="50"/>
      <c r="B512" s="4"/>
      <c r="C512" s="188"/>
      <c r="D512" s="188"/>
      <c r="E512" s="52"/>
      <c r="F512" s="188"/>
      <c r="G512" s="39"/>
      <c r="H512" s="39"/>
      <c r="I512" s="252"/>
      <c r="J512" s="188"/>
      <c r="K512" s="252"/>
      <c r="L512" s="188"/>
      <c r="M512" s="52"/>
    </row>
    <row r="513" spans="1:13" ht="15.75">
      <c r="A513" s="50"/>
      <c r="B513" s="4"/>
      <c r="C513" s="188"/>
      <c r="D513" s="188"/>
      <c r="E513" s="52"/>
      <c r="F513" s="188"/>
      <c r="G513" s="39"/>
      <c r="H513" s="39"/>
      <c r="I513" s="252"/>
      <c r="J513" s="188"/>
      <c r="K513" s="252"/>
      <c r="L513" s="188"/>
      <c r="M513" s="52"/>
    </row>
    <row r="514" spans="1:13" ht="15.75">
      <c r="A514" s="50"/>
      <c r="B514" s="4"/>
      <c r="C514" s="188"/>
      <c r="D514" s="188"/>
      <c r="E514" s="52"/>
      <c r="F514" s="188"/>
      <c r="G514" s="39"/>
      <c r="H514" s="39"/>
      <c r="I514" s="252"/>
      <c r="J514" s="188"/>
      <c r="K514" s="252"/>
      <c r="L514" s="188"/>
      <c r="M514" s="52"/>
    </row>
    <row r="515" spans="1:13" ht="15.75">
      <c r="A515" s="50"/>
      <c r="B515" s="4"/>
      <c r="C515" s="188"/>
      <c r="D515" s="188"/>
      <c r="E515" s="52"/>
      <c r="F515" s="188"/>
      <c r="G515" s="39"/>
      <c r="H515" s="39"/>
      <c r="I515" s="252"/>
      <c r="J515" s="188"/>
      <c r="K515" s="252"/>
      <c r="L515" s="188"/>
      <c r="M515" s="52"/>
    </row>
    <row r="516" spans="1:13" ht="15.75">
      <c r="A516" s="50"/>
      <c r="B516" s="4"/>
      <c r="C516" s="188"/>
      <c r="D516" s="188"/>
      <c r="E516" s="52"/>
      <c r="F516" s="188"/>
      <c r="G516" s="39"/>
      <c r="H516" s="39"/>
      <c r="I516" s="252"/>
      <c r="J516" s="188"/>
      <c r="K516" s="252"/>
      <c r="L516" s="188"/>
      <c r="M516" s="52"/>
    </row>
    <row r="517" spans="1:13" ht="15.75">
      <c r="A517" s="50"/>
      <c r="B517" s="4"/>
      <c r="C517" s="188"/>
      <c r="D517" s="188"/>
      <c r="E517" s="52"/>
      <c r="F517" s="188"/>
      <c r="G517" s="39"/>
      <c r="H517" s="39"/>
      <c r="I517" s="252"/>
      <c r="J517" s="188"/>
      <c r="K517" s="252"/>
      <c r="L517" s="188"/>
      <c r="M517" s="52"/>
    </row>
    <row r="518" spans="1:13" ht="15.75">
      <c r="A518" s="50"/>
      <c r="B518" s="4"/>
      <c r="C518" s="188"/>
      <c r="D518" s="188"/>
      <c r="E518" s="52"/>
      <c r="F518" s="188"/>
      <c r="G518" s="39"/>
      <c r="H518" s="39"/>
      <c r="I518" s="252"/>
      <c r="J518" s="188"/>
      <c r="K518" s="252"/>
      <c r="L518" s="188"/>
      <c r="M518" s="52"/>
    </row>
    <row r="519" spans="1:13" ht="15.75">
      <c r="A519" s="50"/>
      <c r="B519" s="4"/>
      <c r="C519" s="188"/>
      <c r="D519" s="188"/>
      <c r="E519" s="52"/>
      <c r="F519" s="188"/>
      <c r="G519" s="39"/>
      <c r="H519" s="39"/>
      <c r="I519" s="252"/>
      <c r="J519" s="188"/>
      <c r="K519" s="252"/>
      <c r="L519" s="188"/>
      <c r="M519" s="52"/>
    </row>
    <row r="520" spans="1:13" ht="15.75">
      <c r="A520" s="50"/>
      <c r="B520" s="4"/>
      <c r="C520" s="188"/>
      <c r="D520" s="188"/>
      <c r="E520" s="52"/>
      <c r="F520" s="188"/>
      <c r="G520" s="39"/>
      <c r="H520" s="39"/>
      <c r="I520" s="252"/>
      <c r="J520" s="188"/>
      <c r="K520" s="252"/>
      <c r="L520" s="188"/>
      <c r="M520" s="52"/>
    </row>
    <row r="521" spans="1:13" ht="15.75">
      <c r="A521" s="50"/>
      <c r="B521" s="4"/>
      <c r="C521" s="188"/>
      <c r="D521" s="188"/>
      <c r="E521" s="52"/>
      <c r="F521" s="188"/>
      <c r="G521" s="39"/>
      <c r="H521" s="39"/>
      <c r="I521" s="252"/>
      <c r="J521" s="188"/>
      <c r="K521" s="252"/>
      <c r="L521" s="188"/>
      <c r="M521" s="52"/>
    </row>
    <row r="522" spans="1:13" ht="15.75">
      <c r="A522" s="50"/>
      <c r="B522" s="4"/>
      <c r="C522" s="188"/>
      <c r="D522" s="188"/>
      <c r="E522" s="52"/>
      <c r="F522" s="188"/>
      <c r="G522" s="39"/>
      <c r="H522" s="39"/>
      <c r="I522" s="252"/>
      <c r="J522" s="188"/>
      <c r="K522" s="252"/>
      <c r="L522" s="188"/>
      <c r="M522" s="52"/>
    </row>
    <row r="523" spans="1:13" ht="15.75">
      <c r="A523" s="50"/>
      <c r="B523" s="4"/>
      <c r="C523" s="188"/>
      <c r="D523" s="188"/>
      <c r="E523" s="52"/>
      <c r="F523" s="188"/>
      <c r="G523" s="39"/>
      <c r="H523" s="39"/>
      <c r="I523" s="252"/>
      <c r="J523" s="188"/>
      <c r="K523" s="252"/>
      <c r="L523" s="188"/>
      <c r="M523" s="52"/>
    </row>
    <row r="524" spans="1:13" ht="15.75">
      <c r="A524" s="50"/>
      <c r="B524" s="4"/>
      <c r="C524" s="188"/>
      <c r="D524" s="188"/>
      <c r="E524" s="52"/>
      <c r="F524" s="188"/>
      <c r="G524" s="39"/>
      <c r="H524" s="39"/>
      <c r="I524" s="252"/>
      <c r="J524" s="188"/>
      <c r="K524" s="252"/>
      <c r="L524" s="188"/>
      <c r="M524" s="52"/>
    </row>
    <row r="525" spans="1:13" ht="15.75">
      <c r="A525" s="50"/>
      <c r="B525" s="4"/>
      <c r="C525" s="188"/>
      <c r="D525" s="188"/>
      <c r="E525" s="52"/>
      <c r="F525" s="188"/>
      <c r="G525" s="39"/>
      <c r="H525" s="39"/>
      <c r="I525" s="252"/>
      <c r="J525" s="188"/>
      <c r="K525" s="252"/>
      <c r="L525" s="188"/>
      <c r="M525" s="52"/>
    </row>
    <row r="526" spans="1:13" ht="15.75">
      <c r="A526" s="50"/>
      <c r="B526" s="4"/>
      <c r="C526" s="188"/>
      <c r="D526" s="188"/>
      <c r="E526" s="52"/>
      <c r="F526" s="188"/>
      <c r="G526" s="39"/>
      <c r="H526" s="39"/>
      <c r="I526" s="252"/>
      <c r="J526" s="188"/>
      <c r="K526" s="252"/>
      <c r="L526" s="188"/>
      <c r="M526" s="52"/>
    </row>
    <row r="527" spans="1:13" ht="15.75">
      <c r="A527" s="50"/>
      <c r="B527" s="4"/>
      <c r="C527" s="188"/>
      <c r="D527" s="188"/>
      <c r="E527" s="52"/>
      <c r="F527" s="188"/>
      <c r="G527" s="39"/>
      <c r="H527" s="39"/>
      <c r="I527" s="252"/>
      <c r="J527" s="188"/>
      <c r="K527" s="252"/>
      <c r="L527" s="188"/>
      <c r="M527" s="52"/>
    </row>
    <row r="528" spans="1:13" ht="15.75">
      <c r="A528" s="50"/>
      <c r="B528" s="4"/>
      <c r="C528" s="188"/>
      <c r="D528" s="188"/>
      <c r="E528" s="52"/>
      <c r="F528" s="188"/>
      <c r="G528" s="39"/>
      <c r="H528" s="39"/>
      <c r="I528" s="252"/>
      <c r="J528" s="188"/>
      <c r="K528" s="252"/>
      <c r="L528" s="188"/>
      <c r="M528" s="52"/>
    </row>
    <row r="529" spans="1:13" ht="15.75">
      <c r="A529" s="50"/>
      <c r="B529" s="4"/>
      <c r="C529" s="188"/>
      <c r="D529" s="188"/>
      <c r="E529" s="52"/>
      <c r="F529" s="188"/>
      <c r="G529" s="39"/>
      <c r="H529" s="39"/>
      <c r="I529" s="252"/>
      <c r="J529" s="188"/>
      <c r="K529" s="252"/>
      <c r="L529" s="188"/>
      <c r="M529" s="52"/>
    </row>
    <row r="530" spans="1:13" ht="15.75">
      <c r="A530" s="50"/>
      <c r="B530" s="4"/>
      <c r="C530" s="188"/>
      <c r="D530" s="188"/>
      <c r="E530" s="52"/>
      <c r="F530" s="188"/>
      <c r="G530" s="39"/>
      <c r="H530" s="39"/>
      <c r="I530" s="252"/>
      <c r="J530" s="188"/>
      <c r="K530" s="252"/>
      <c r="L530" s="188"/>
      <c r="M530" s="52"/>
    </row>
    <row r="531" spans="1:13" ht="15.75">
      <c r="A531" s="50"/>
      <c r="B531" s="4"/>
      <c r="C531" s="188"/>
      <c r="D531" s="188"/>
      <c r="E531" s="52"/>
      <c r="F531" s="188"/>
      <c r="G531" s="39"/>
      <c r="H531" s="39"/>
      <c r="I531" s="252"/>
      <c r="J531" s="188"/>
      <c r="K531" s="252"/>
      <c r="L531" s="188"/>
      <c r="M531" s="52"/>
    </row>
    <row r="532" spans="1:13" ht="15.75">
      <c r="A532" s="50"/>
      <c r="B532" s="4"/>
      <c r="C532" s="188"/>
      <c r="D532" s="188"/>
      <c r="E532" s="52"/>
      <c r="F532" s="188"/>
      <c r="G532" s="39"/>
      <c r="H532" s="39"/>
      <c r="I532" s="252"/>
      <c r="J532" s="188"/>
      <c r="K532" s="252"/>
      <c r="L532" s="188"/>
      <c r="M532" s="52"/>
    </row>
    <row r="533" spans="1:13" ht="15.75">
      <c r="A533" s="50"/>
      <c r="B533" s="4"/>
      <c r="C533" s="188"/>
      <c r="D533" s="188"/>
      <c r="E533" s="52"/>
      <c r="F533" s="188"/>
      <c r="G533" s="39"/>
      <c r="H533" s="39"/>
      <c r="I533" s="252"/>
      <c r="J533" s="188"/>
      <c r="K533" s="252"/>
      <c r="L533" s="188"/>
      <c r="M533" s="52"/>
    </row>
    <row r="534" spans="1:13" ht="15.75">
      <c r="A534" s="50"/>
      <c r="B534" s="4"/>
      <c r="C534" s="188"/>
      <c r="D534" s="188"/>
      <c r="E534" s="52"/>
      <c r="F534" s="188"/>
      <c r="G534" s="39"/>
      <c r="H534" s="39"/>
      <c r="I534" s="252"/>
      <c r="J534" s="188"/>
      <c r="K534" s="252"/>
      <c r="L534" s="188"/>
      <c r="M534" s="52"/>
    </row>
    <row r="535" spans="1:13" ht="15.75">
      <c r="A535" s="50"/>
      <c r="B535" s="4"/>
      <c r="C535" s="188"/>
      <c r="D535" s="188"/>
      <c r="E535" s="52"/>
      <c r="F535" s="188"/>
      <c r="G535" s="39"/>
      <c r="H535" s="39"/>
      <c r="I535" s="252"/>
      <c r="J535" s="188"/>
      <c r="K535" s="252"/>
      <c r="L535" s="188"/>
      <c r="M535" s="52"/>
    </row>
    <row r="536" spans="1:13" ht="15.75">
      <c r="A536" s="50"/>
      <c r="B536" s="4"/>
      <c r="C536" s="188"/>
      <c r="D536" s="188"/>
      <c r="E536" s="52"/>
      <c r="F536" s="188"/>
      <c r="G536" s="39"/>
      <c r="H536" s="39"/>
      <c r="I536" s="252"/>
      <c r="J536" s="188"/>
      <c r="K536" s="252"/>
      <c r="L536" s="188"/>
      <c r="M536" s="52"/>
    </row>
    <row r="537" spans="1:13" ht="15.75">
      <c r="A537" s="50"/>
      <c r="B537" s="4"/>
      <c r="C537" s="188"/>
      <c r="D537" s="188"/>
      <c r="E537" s="52"/>
      <c r="F537" s="188"/>
      <c r="G537" s="39"/>
      <c r="H537" s="39"/>
      <c r="I537" s="252"/>
      <c r="J537" s="188"/>
      <c r="K537" s="252"/>
      <c r="L537" s="188"/>
      <c r="M537" s="52"/>
    </row>
    <row r="538" spans="1:13" ht="15.75">
      <c r="A538" s="50"/>
      <c r="B538" s="4"/>
      <c r="C538" s="188"/>
      <c r="D538" s="188"/>
      <c r="E538" s="52"/>
      <c r="F538" s="188"/>
      <c r="G538" s="39"/>
      <c r="H538" s="39"/>
      <c r="I538" s="252"/>
      <c r="J538" s="188"/>
      <c r="K538" s="252"/>
      <c r="L538" s="188"/>
      <c r="M538" s="52"/>
    </row>
    <row r="539" spans="1:13" ht="15.75">
      <c r="A539" s="50"/>
      <c r="B539" s="4"/>
      <c r="C539" s="188"/>
      <c r="D539" s="188"/>
      <c r="E539" s="52"/>
      <c r="F539" s="188"/>
      <c r="G539" s="39"/>
      <c r="H539" s="39"/>
      <c r="I539" s="252"/>
      <c r="J539" s="188"/>
      <c r="K539" s="252"/>
      <c r="L539" s="188"/>
      <c r="M539" s="52"/>
    </row>
    <row r="540" spans="1:13" ht="15.75">
      <c r="A540" s="50"/>
      <c r="B540" s="4"/>
      <c r="C540" s="188"/>
      <c r="D540" s="188"/>
      <c r="E540" s="52"/>
      <c r="F540" s="188"/>
      <c r="G540" s="39"/>
      <c r="H540" s="39"/>
      <c r="I540" s="252"/>
      <c r="J540" s="188"/>
      <c r="K540" s="252"/>
      <c r="L540" s="188"/>
      <c r="M540" s="52"/>
    </row>
    <row r="541" spans="1:13" ht="15.75">
      <c r="A541" s="50"/>
      <c r="B541" s="4"/>
      <c r="C541" s="188"/>
      <c r="D541" s="188"/>
      <c r="E541" s="52"/>
      <c r="F541" s="188"/>
      <c r="G541" s="39"/>
      <c r="H541" s="39"/>
      <c r="I541" s="252"/>
      <c r="J541" s="188"/>
      <c r="K541" s="252"/>
      <c r="L541" s="188"/>
      <c r="M541" s="52"/>
    </row>
    <row r="542" spans="1:13" ht="15.75">
      <c r="A542" s="50"/>
      <c r="B542" s="4"/>
      <c r="C542" s="188"/>
      <c r="D542" s="188"/>
      <c r="E542" s="52"/>
      <c r="F542" s="188"/>
      <c r="G542" s="39"/>
      <c r="H542" s="39"/>
      <c r="I542" s="252"/>
      <c r="J542" s="188"/>
      <c r="K542" s="252"/>
      <c r="L542" s="188"/>
      <c r="M542" s="52"/>
    </row>
    <row r="543" spans="1:13" ht="15.75">
      <c r="A543" s="50"/>
      <c r="B543" s="4"/>
      <c r="C543" s="188"/>
      <c r="D543" s="188"/>
      <c r="E543" s="52"/>
      <c r="F543" s="188"/>
      <c r="G543" s="39"/>
      <c r="H543" s="39"/>
      <c r="I543" s="252"/>
      <c r="J543" s="188"/>
      <c r="K543" s="252"/>
      <c r="L543" s="188"/>
      <c r="M543" s="52"/>
    </row>
    <row r="544" spans="1:13" ht="15.75">
      <c r="A544" s="50"/>
      <c r="B544" s="4"/>
      <c r="C544" s="188"/>
      <c r="D544" s="188"/>
      <c r="E544" s="52"/>
      <c r="F544" s="188"/>
      <c r="G544" s="39"/>
      <c r="H544" s="39"/>
      <c r="I544" s="252"/>
      <c r="J544" s="188"/>
      <c r="K544" s="252"/>
      <c r="L544" s="188"/>
      <c r="M544" s="52"/>
    </row>
    <row r="545" spans="1:13" ht="15.75">
      <c r="A545" s="50"/>
      <c r="B545" s="4"/>
      <c r="C545" s="188"/>
      <c r="D545" s="188"/>
      <c r="E545" s="52"/>
      <c r="F545" s="188"/>
      <c r="G545" s="39"/>
      <c r="H545" s="39"/>
      <c r="I545" s="252"/>
      <c r="J545" s="188"/>
      <c r="K545" s="252"/>
      <c r="L545" s="188"/>
      <c r="M545" s="52"/>
    </row>
    <row r="546" spans="1:13" ht="15.75">
      <c r="A546" s="50"/>
      <c r="B546" s="4"/>
      <c r="C546" s="188"/>
      <c r="D546" s="188"/>
      <c r="E546" s="52"/>
      <c r="F546" s="188"/>
      <c r="G546" s="39"/>
      <c r="H546" s="39"/>
      <c r="I546" s="252"/>
      <c r="J546" s="188"/>
      <c r="K546" s="252"/>
      <c r="L546" s="188"/>
      <c r="M546" s="52"/>
    </row>
    <row r="547" spans="1:13" ht="15.75">
      <c r="A547" s="50"/>
      <c r="B547" s="4"/>
      <c r="C547" s="188"/>
      <c r="D547" s="188"/>
      <c r="E547" s="52"/>
      <c r="F547" s="188"/>
      <c r="G547" s="39"/>
      <c r="H547" s="39"/>
      <c r="I547" s="252"/>
      <c r="J547" s="188"/>
      <c r="K547" s="252"/>
      <c r="L547" s="188"/>
      <c r="M547" s="52"/>
    </row>
    <row r="548" spans="1:13" ht="15.75">
      <c r="A548" s="50"/>
      <c r="B548" s="4"/>
      <c r="C548" s="188"/>
      <c r="D548" s="188"/>
      <c r="E548" s="52"/>
      <c r="F548" s="188"/>
      <c r="G548" s="39"/>
      <c r="H548" s="39"/>
      <c r="I548" s="252"/>
      <c r="J548" s="188"/>
      <c r="K548" s="252"/>
      <c r="L548" s="188"/>
      <c r="M548" s="52"/>
    </row>
    <row r="549" spans="1:13" ht="15.75">
      <c r="A549" s="50"/>
      <c r="B549" s="4"/>
      <c r="C549" s="188"/>
      <c r="D549" s="188"/>
      <c r="E549" s="52"/>
      <c r="F549" s="188"/>
      <c r="G549" s="39"/>
      <c r="H549" s="39"/>
      <c r="I549" s="252"/>
      <c r="J549" s="188"/>
      <c r="K549" s="252"/>
      <c r="L549" s="188"/>
      <c r="M549" s="52"/>
    </row>
    <row r="550" spans="1:13" ht="15.75">
      <c r="A550" s="50"/>
      <c r="B550" s="4"/>
      <c r="C550" s="188"/>
      <c r="D550" s="188"/>
      <c r="E550" s="52"/>
      <c r="F550" s="188"/>
      <c r="G550" s="39"/>
      <c r="H550" s="39"/>
      <c r="I550" s="252"/>
      <c r="J550" s="188"/>
      <c r="K550" s="252"/>
      <c r="L550" s="188"/>
      <c r="M550" s="52"/>
    </row>
    <row r="551" spans="1:13" ht="15.75">
      <c r="A551" s="50"/>
      <c r="B551" s="4"/>
      <c r="C551" s="188"/>
      <c r="D551" s="188"/>
      <c r="E551" s="52"/>
      <c r="F551" s="188"/>
      <c r="G551" s="39"/>
      <c r="H551" s="39"/>
      <c r="I551" s="252"/>
      <c r="J551" s="188"/>
      <c r="K551" s="252"/>
      <c r="L551" s="188"/>
      <c r="M551" s="52"/>
    </row>
    <row r="552" spans="1:13" ht="15.75">
      <c r="A552" s="50"/>
      <c r="B552" s="4"/>
      <c r="C552" s="188"/>
      <c r="D552" s="188"/>
      <c r="E552" s="52"/>
      <c r="F552" s="188"/>
      <c r="G552" s="39"/>
      <c r="H552" s="39"/>
      <c r="I552" s="252"/>
      <c r="J552" s="188"/>
      <c r="K552" s="252"/>
      <c r="L552" s="188"/>
      <c r="M552" s="52"/>
    </row>
    <row r="553" spans="1:13" ht="15.75">
      <c r="A553" s="50"/>
      <c r="B553" s="4"/>
      <c r="C553" s="188"/>
      <c r="D553" s="188"/>
      <c r="E553" s="52"/>
      <c r="F553" s="188"/>
      <c r="G553" s="39"/>
      <c r="H553" s="39"/>
      <c r="I553" s="252"/>
      <c r="J553" s="188"/>
      <c r="K553" s="252"/>
      <c r="L553" s="188"/>
      <c r="M553" s="52"/>
    </row>
    <row r="554" spans="1:13" ht="15.75">
      <c r="A554" s="50"/>
      <c r="B554" s="4"/>
      <c r="C554" s="188"/>
      <c r="D554" s="188"/>
      <c r="E554" s="52"/>
      <c r="F554" s="188"/>
      <c r="G554" s="39"/>
      <c r="H554" s="39"/>
      <c r="I554" s="252"/>
      <c r="J554" s="188"/>
      <c r="K554" s="252"/>
      <c r="L554" s="188"/>
      <c r="M554" s="52"/>
    </row>
    <row r="555" spans="1:13" ht="15.75">
      <c r="A555" s="50"/>
      <c r="B555" s="4"/>
      <c r="C555" s="188"/>
      <c r="D555" s="188"/>
      <c r="E555" s="52"/>
      <c r="F555" s="188"/>
      <c r="G555" s="39"/>
      <c r="H555" s="39"/>
      <c r="I555" s="252"/>
      <c r="J555" s="188"/>
      <c r="K555" s="252"/>
      <c r="L555" s="188"/>
      <c r="M555" s="52"/>
    </row>
    <row r="556" spans="1:13" ht="15.75">
      <c r="A556" s="50"/>
      <c r="B556" s="4"/>
      <c r="C556" s="188"/>
      <c r="D556" s="188"/>
      <c r="E556" s="52"/>
      <c r="F556" s="188"/>
      <c r="G556" s="39"/>
      <c r="H556" s="39"/>
      <c r="I556" s="252"/>
      <c r="J556" s="188"/>
      <c r="K556" s="252"/>
      <c r="L556" s="188"/>
      <c r="M556" s="52"/>
    </row>
    <row r="557" spans="1:13" ht="15.75">
      <c r="A557" s="50"/>
      <c r="B557" s="4"/>
      <c r="C557" s="188"/>
      <c r="D557" s="188"/>
      <c r="E557" s="52"/>
      <c r="F557" s="188"/>
      <c r="G557" s="39"/>
      <c r="H557" s="39"/>
      <c r="I557" s="252"/>
      <c r="J557" s="188"/>
      <c r="K557" s="252"/>
      <c r="L557" s="188"/>
      <c r="M557" s="52"/>
    </row>
    <row r="558" spans="1:13" ht="15.75">
      <c r="A558" s="50"/>
      <c r="B558" s="4"/>
      <c r="C558" s="188"/>
      <c r="D558" s="188"/>
      <c r="E558" s="52"/>
      <c r="F558" s="188"/>
      <c r="G558" s="39"/>
      <c r="H558" s="39"/>
      <c r="I558" s="252"/>
      <c r="J558" s="188"/>
      <c r="K558" s="252"/>
      <c r="L558" s="188"/>
      <c r="M558" s="52"/>
    </row>
    <row r="559" spans="1:13" ht="15.75">
      <c r="A559" s="50"/>
      <c r="B559" s="4"/>
      <c r="C559" s="188"/>
      <c r="D559" s="188"/>
      <c r="E559" s="52"/>
      <c r="F559" s="188"/>
      <c r="G559" s="39"/>
      <c r="H559" s="39"/>
      <c r="I559" s="252"/>
      <c r="J559" s="188"/>
      <c r="K559" s="252"/>
      <c r="L559" s="188"/>
      <c r="M559" s="52"/>
    </row>
    <row r="560" spans="1:13" ht="15.75">
      <c r="A560" s="50"/>
      <c r="B560" s="4"/>
      <c r="C560" s="188"/>
      <c r="D560" s="188"/>
      <c r="E560" s="52"/>
      <c r="F560" s="188"/>
      <c r="G560" s="39"/>
      <c r="H560" s="39"/>
      <c r="I560" s="252"/>
      <c r="J560" s="188"/>
      <c r="K560" s="252"/>
      <c r="L560" s="188"/>
      <c r="M560" s="52"/>
    </row>
    <row r="561" spans="1:13" ht="15.75">
      <c r="A561" s="50"/>
      <c r="B561" s="4"/>
      <c r="C561" s="188"/>
      <c r="D561" s="188"/>
      <c r="E561" s="52"/>
      <c r="F561" s="188"/>
      <c r="G561" s="39"/>
      <c r="H561" s="39"/>
      <c r="I561" s="252"/>
      <c r="J561" s="188"/>
      <c r="K561" s="252"/>
      <c r="L561" s="188"/>
      <c r="M561" s="52"/>
    </row>
    <row r="562" spans="1:13" ht="15.75">
      <c r="A562" s="50"/>
      <c r="B562" s="4"/>
      <c r="C562" s="188"/>
      <c r="D562" s="188"/>
      <c r="E562" s="52"/>
      <c r="F562" s="188"/>
      <c r="G562" s="39"/>
      <c r="H562" s="39"/>
      <c r="I562" s="252"/>
      <c r="J562" s="188"/>
      <c r="K562" s="252"/>
      <c r="L562" s="188"/>
      <c r="M562" s="52"/>
    </row>
    <row r="563" spans="1:13" ht="15.75">
      <c r="A563" s="50"/>
      <c r="B563" s="4"/>
      <c r="C563" s="188"/>
      <c r="D563" s="188"/>
      <c r="E563" s="52"/>
      <c r="F563" s="188"/>
      <c r="G563" s="39"/>
      <c r="H563" s="39"/>
      <c r="I563" s="252"/>
      <c r="J563" s="188"/>
      <c r="K563" s="252"/>
      <c r="L563" s="188"/>
      <c r="M563" s="52"/>
    </row>
    <row r="564" spans="1:13" ht="15.75">
      <c r="A564" s="50"/>
      <c r="B564" s="4"/>
      <c r="C564" s="188"/>
      <c r="D564" s="188"/>
      <c r="E564" s="52"/>
      <c r="F564" s="188"/>
      <c r="G564" s="39"/>
      <c r="H564" s="39"/>
      <c r="I564" s="252"/>
      <c r="J564" s="188"/>
      <c r="K564" s="252"/>
      <c r="L564" s="188"/>
      <c r="M564" s="52"/>
    </row>
    <row r="565" spans="1:13" ht="15.75">
      <c r="A565" s="50"/>
      <c r="B565" s="4"/>
      <c r="C565" s="188"/>
      <c r="D565" s="188"/>
      <c r="E565" s="52"/>
      <c r="F565" s="188"/>
      <c r="G565" s="39"/>
      <c r="H565" s="39"/>
      <c r="I565" s="252"/>
      <c r="J565" s="188"/>
      <c r="K565" s="252"/>
      <c r="L565" s="188"/>
      <c r="M565" s="52"/>
    </row>
    <row r="566" spans="1:13" ht="15.75">
      <c r="A566" s="50"/>
      <c r="B566" s="4"/>
      <c r="C566" s="188"/>
      <c r="D566" s="188"/>
      <c r="E566" s="52"/>
      <c r="F566" s="188"/>
      <c r="G566" s="39"/>
      <c r="H566" s="39"/>
      <c r="I566" s="252"/>
      <c r="J566" s="188"/>
      <c r="K566" s="252"/>
      <c r="L566" s="188"/>
      <c r="M566" s="52"/>
    </row>
    <row r="567" spans="1:13" ht="15.75">
      <c r="A567" s="50"/>
      <c r="B567" s="4"/>
      <c r="C567" s="188"/>
      <c r="D567" s="188"/>
      <c r="E567" s="52"/>
      <c r="F567" s="188"/>
      <c r="G567" s="39"/>
      <c r="H567" s="39"/>
      <c r="I567" s="252"/>
      <c r="J567" s="188"/>
      <c r="K567" s="252"/>
      <c r="L567" s="188"/>
      <c r="M567" s="52"/>
    </row>
    <row r="568" spans="1:13" ht="15.75">
      <c r="A568" s="50"/>
      <c r="B568" s="4"/>
      <c r="C568" s="188"/>
      <c r="D568" s="188"/>
      <c r="E568" s="52"/>
      <c r="F568" s="188"/>
      <c r="G568" s="39"/>
      <c r="H568" s="39"/>
      <c r="I568" s="252"/>
      <c r="J568" s="188"/>
      <c r="K568" s="252"/>
      <c r="L568" s="188"/>
      <c r="M568" s="52"/>
    </row>
    <row r="569" spans="1:13" ht="15.75">
      <c r="A569" s="50"/>
      <c r="B569" s="4"/>
      <c r="C569" s="188"/>
      <c r="D569" s="188"/>
      <c r="E569" s="52"/>
      <c r="F569" s="188"/>
      <c r="G569" s="39"/>
      <c r="H569" s="39"/>
      <c r="I569" s="252"/>
      <c r="J569" s="188"/>
      <c r="K569" s="252"/>
      <c r="L569" s="188"/>
      <c r="M569" s="52"/>
    </row>
    <row r="570" spans="1:13" ht="15.75">
      <c r="A570" s="50"/>
      <c r="B570" s="4"/>
      <c r="C570" s="188"/>
      <c r="D570" s="188"/>
      <c r="E570" s="52"/>
      <c r="F570" s="188"/>
      <c r="G570" s="39"/>
      <c r="H570" s="39"/>
      <c r="I570" s="252"/>
      <c r="J570" s="188"/>
      <c r="K570" s="252"/>
      <c r="L570" s="188"/>
      <c r="M570" s="52"/>
    </row>
    <row r="571" spans="1:13" ht="15.75">
      <c r="A571" s="50"/>
      <c r="B571" s="4"/>
      <c r="C571" s="188"/>
      <c r="D571" s="188"/>
      <c r="E571" s="52"/>
      <c r="F571" s="188"/>
      <c r="G571" s="39"/>
      <c r="H571" s="39"/>
      <c r="I571" s="252"/>
      <c r="J571" s="188"/>
      <c r="K571" s="252"/>
      <c r="L571" s="188"/>
      <c r="M571" s="52"/>
    </row>
    <row r="572" spans="1:13" ht="15.75">
      <c r="A572" s="50"/>
      <c r="B572" s="4"/>
      <c r="C572" s="188"/>
      <c r="D572" s="188"/>
      <c r="E572" s="52"/>
      <c r="F572" s="188"/>
      <c r="G572" s="39"/>
      <c r="H572" s="39"/>
      <c r="I572" s="252"/>
      <c r="J572" s="188"/>
      <c r="K572" s="252"/>
      <c r="L572" s="188"/>
      <c r="M572" s="52"/>
    </row>
    <row r="573" spans="1:13" ht="15.75">
      <c r="A573" s="50"/>
      <c r="B573" s="4"/>
      <c r="C573" s="188"/>
      <c r="D573" s="188"/>
      <c r="E573" s="52"/>
      <c r="F573" s="188"/>
      <c r="G573" s="39"/>
      <c r="H573" s="39"/>
      <c r="I573" s="252"/>
      <c r="J573" s="188"/>
      <c r="K573" s="252"/>
      <c r="L573" s="188"/>
      <c r="M573" s="52"/>
    </row>
    <row r="574" spans="1:13" ht="15.75">
      <c r="A574" s="50"/>
      <c r="B574" s="4"/>
      <c r="C574" s="188"/>
      <c r="D574" s="188"/>
      <c r="E574" s="52"/>
      <c r="F574" s="188"/>
      <c r="G574" s="39"/>
      <c r="H574" s="39"/>
      <c r="I574" s="252"/>
      <c r="J574" s="188"/>
      <c r="K574" s="252"/>
      <c r="L574" s="188"/>
      <c r="M574" s="52"/>
    </row>
    <row r="575" spans="1:13" ht="15.75">
      <c r="A575" s="50"/>
      <c r="B575" s="4"/>
      <c r="C575" s="188"/>
      <c r="D575" s="188"/>
      <c r="E575" s="52"/>
      <c r="F575" s="188"/>
      <c r="G575" s="39"/>
      <c r="H575" s="39"/>
      <c r="I575" s="252"/>
      <c r="J575" s="188"/>
      <c r="K575" s="252"/>
      <c r="L575" s="188"/>
      <c r="M575" s="52"/>
    </row>
    <row r="576" spans="1:13" ht="15.75">
      <c r="A576" s="50"/>
      <c r="B576" s="4"/>
      <c r="C576" s="188"/>
      <c r="D576" s="188"/>
      <c r="E576" s="52"/>
      <c r="F576" s="188"/>
      <c r="G576" s="39"/>
      <c r="H576" s="39"/>
      <c r="I576" s="252"/>
      <c r="J576" s="188"/>
      <c r="K576" s="252"/>
      <c r="L576" s="188"/>
      <c r="M576" s="52"/>
    </row>
    <row r="577" spans="1:13" ht="15.75">
      <c r="A577" s="50"/>
      <c r="B577" s="4"/>
      <c r="C577" s="188"/>
      <c r="D577" s="188"/>
      <c r="E577" s="52"/>
      <c r="F577" s="188"/>
      <c r="G577" s="39"/>
      <c r="H577" s="39"/>
      <c r="I577" s="252"/>
      <c r="J577" s="188"/>
      <c r="K577" s="252"/>
      <c r="L577" s="188"/>
      <c r="M577" s="52"/>
    </row>
    <row r="578" spans="1:13" ht="15.75">
      <c r="A578" s="50"/>
      <c r="B578" s="4"/>
      <c r="C578" s="188"/>
      <c r="D578" s="188"/>
      <c r="E578" s="52"/>
      <c r="F578" s="188"/>
      <c r="G578" s="39"/>
      <c r="H578" s="39"/>
      <c r="I578" s="252"/>
      <c r="J578" s="188"/>
      <c r="K578" s="252"/>
      <c r="L578" s="188"/>
      <c r="M578" s="52"/>
    </row>
    <row r="579" spans="1:13" ht="15.75">
      <c r="A579" s="50"/>
      <c r="B579" s="4"/>
      <c r="C579" s="188"/>
      <c r="D579" s="188"/>
      <c r="E579" s="52"/>
      <c r="F579" s="188"/>
      <c r="G579" s="39"/>
      <c r="H579" s="39"/>
      <c r="I579" s="252"/>
      <c r="J579" s="188"/>
      <c r="K579" s="252"/>
      <c r="L579" s="188"/>
      <c r="M579" s="52"/>
    </row>
    <row r="580" spans="1:13" ht="15.75">
      <c r="A580" s="50"/>
      <c r="B580" s="4"/>
      <c r="C580" s="188"/>
      <c r="D580" s="188"/>
      <c r="E580" s="52"/>
      <c r="F580" s="188"/>
      <c r="G580" s="39"/>
      <c r="H580" s="39"/>
      <c r="I580" s="252"/>
      <c r="J580" s="188"/>
      <c r="K580" s="252"/>
      <c r="L580" s="188"/>
      <c r="M580" s="52"/>
    </row>
    <row r="581" spans="1:13" ht="15.75">
      <c r="A581" s="50"/>
      <c r="B581" s="4"/>
      <c r="C581" s="188"/>
      <c r="D581" s="188"/>
      <c r="E581" s="52"/>
      <c r="F581" s="188"/>
      <c r="G581" s="39"/>
      <c r="H581" s="39"/>
      <c r="I581" s="252"/>
      <c r="J581" s="188"/>
      <c r="K581" s="252"/>
      <c r="L581" s="188"/>
      <c r="M581" s="52"/>
    </row>
    <row r="582" spans="1:13" ht="15.75">
      <c r="A582" s="50"/>
      <c r="B582" s="4"/>
      <c r="C582" s="188"/>
      <c r="D582" s="188"/>
      <c r="E582" s="52"/>
      <c r="F582" s="188"/>
      <c r="G582" s="39"/>
      <c r="H582" s="39"/>
      <c r="I582" s="252"/>
      <c r="J582" s="188"/>
      <c r="K582" s="252"/>
      <c r="L582" s="188"/>
      <c r="M582" s="52"/>
    </row>
    <row r="583" spans="1:13" ht="15.75">
      <c r="A583" s="50"/>
      <c r="B583" s="4"/>
      <c r="C583" s="188"/>
      <c r="D583" s="188"/>
      <c r="E583" s="52"/>
      <c r="F583" s="188"/>
      <c r="G583" s="39"/>
      <c r="H583" s="39"/>
      <c r="I583" s="252"/>
      <c r="J583" s="188"/>
      <c r="K583" s="252"/>
      <c r="L583" s="188"/>
      <c r="M583" s="52"/>
    </row>
    <row r="584" spans="1:13" ht="15.75">
      <c r="A584" s="50"/>
      <c r="B584" s="4"/>
      <c r="C584" s="188"/>
      <c r="D584" s="188"/>
      <c r="E584" s="52"/>
      <c r="F584" s="188"/>
      <c r="G584" s="39"/>
      <c r="H584" s="39"/>
      <c r="I584" s="252"/>
      <c r="J584" s="188"/>
      <c r="K584" s="252"/>
      <c r="L584" s="188"/>
      <c r="M584" s="52"/>
    </row>
    <row r="585" spans="1:13" ht="15.75">
      <c r="A585" s="50"/>
      <c r="B585" s="4"/>
      <c r="C585" s="188"/>
      <c r="D585" s="188"/>
      <c r="E585" s="52"/>
      <c r="F585" s="188"/>
      <c r="G585" s="39"/>
      <c r="H585" s="39"/>
      <c r="I585" s="252"/>
      <c r="J585" s="188"/>
      <c r="K585" s="252"/>
      <c r="L585" s="188"/>
      <c r="M585" s="52"/>
    </row>
    <row r="586" spans="1:13" ht="15.75">
      <c r="A586" s="50"/>
      <c r="B586" s="4"/>
      <c r="C586" s="188"/>
      <c r="D586" s="188"/>
      <c r="E586" s="52"/>
      <c r="F586" s="188"/>
      <c r="G586" s="39"/>
      <c r="H586" s="39"/>
      <c r="I586" s="252"/>
      <c r="J586" s="188"/>
      <c r="K586" s="252"/>
      <c r="L586" s="188"/>
      <c r="M586" s="52"/>
    </row>
    <row r="587" spans="1:13" ht="15.75">
      <c r="A587" s="50"/>
      <c r="B587" s="4"/>
      <c r="C587" s="188"/>
      <c r="D587" s="188"/>
      <c r="E587" s="52"/>
      <c r="F587" s="188"/>
      <c r="G587" s="39"/>
      <c r="H587" s="39"/>
      <c r="I587" s="252"/>
      <c r="J587" s="188"/>
      <c r="K587" s="252"/>
      <c r="L587" s="188"/>
      <c r="M587" s="52"/>
    </row>
    <row r="588" spans="1:13" ht="15.75">
      <c r="A588" s="50"/>
      <c r="B588" s="4"/>
      <c r="C588" s="188"/>
      <c r="D588" s="188"/>
      <c r="E588" s="52"/>
      <c r="F588" s="188"/>
      <c r="G588" s="39"/>
      <c r="H588" s="39"/>
      <c r="I588" s="252"/>
      <c r="J588" s="188"/>
      <c r="K588" s="252"/>
      <c r="L588" s="188"/>
      <c r="M588" s="52"/>
    </row>
    <row r="589" spans="1:13" ht="15.75">
      <c r="A589" s="50"/>
      <c r="B589" s="4"/>
      <c r="C589" s="188"/>
      <c r="D589" s="188"/>
      <c r="E589" s="52"/>
      <c r="F589" s="188"/>
      <c r="G589" s="39"/>
      <c r="H589" s="39"/>
      <c r="I589" s="252"/>
      <c r="J589" s="188"/>
      <c r="K589" s="252"/>
      <c r="L589" s="188"/>
      <c r="M589" s="52"/>
    </row>
    <row r="590" spans="1:13" ht="15.75">
      <c r="A590" s="50"/>
      <c r="B590" s="4"/>
      <c r="C590" s="188"/>
      <c r="D590" s="188"/>
      <c r="E590" s="52"/>
      <c r="F590" s="188"/>
      <c r="G590" s="39"/>
      <c r="H590" s="39"/>
      <c r="I590" s="252"/>
      <c r="J590" s="188"/>
      <c r="K590" s="252"/>
      <c r="L590" s="188"/>
      <c r="M590" s="52"/>
    </row>
    <row r="591" spans="1:13" ht="15.75">
      <c r="A591" s="50"/>
      <c r="B591" s="4"/>
      <c r="C591" s="188"/>
      <c r="D591" s="188"/>
      <c r="E591" s="52"/>
      <c r="F591" s="188"/>
      <c r="G591" s="39"/>
      <c r="H591" s="39"/>
      <c r="I591" s="252"/>
      <c r="J591" s="188"/>
      <c r="K591" s="252"/>
      <c r="L591" s="188"/>
      <c r="M591" s="52"/>
    </row>
    <row r="592" spans="1:13" ht="15.75">
      <c r="A592" s="50"/>
      <c r="B592" s="4"/>
      <c r="C592" s="188"/>
      <c r="D592" s="188"/>
      <c r="E592" s="52"/>
      <c r="F592" s="188"/>
      <c r="G592" s="39"/>
      <c r="H592" s="39"/>
      <c r="I592" s="252"/>
      <c r="J592" s="188"/>
      <c r="K592" s="252"/>
      <c r="L592" s="188"/>
      <c r="M592" s="52"/>
    </row>
    <row r="593" spans="1:13" ht="15.75">
      <c r="A593" s="50"/>
      <c r="B593" s="4"/>
      <c r="C593" s="188"/>
      <c r="D593" s="188"/>
      <c r="E593" s="52"/>
      <c r="F593" s="188"/>
      <c r="G593" s="39"/>
      <c r="H593" s="39"/>
      <c r="I593" s="252"/>
      <c r="J593" s="188"/>
      <c r="K593" s="252"/>
      <c r="L593" s="188"/>
      <c r="M593" s="52"/>
    </row>
    <row r="594" spans="1:13" ht="15.75">
      <c r="A594" s="50"/>
      <c r="B594" s="4"/>
      <c r="C594" s="188"/>
      <c r="D594" s="188"/>
      <c r="E594" s="52"/>
      <c r="F594" s="188"/>
      <c r="G594" s="39"/>
      <c r="H594" s="39"/>
      <c r="I594" s="252"/>
      <c r="J594" s="188"/>
      <c r="K594" s="252"/>
      <c r="L594" s="188"/>
      <c r="M594" s="52"/>
    </row>
    <row r="595" spans="1:13" ht="15.75">
      <c r="A595" s="50"/>
      <c r="B595" s="4"/>
      <c r="C595" s="188"/>
      <c r="D595" s="188"/>
      <c r="E595" s="52"/>
      <c r="F595" s="188"/>
      <c r="G595" s="39"/>
      <c r="H595" s="39"/>
      <c r="I595" s="252"/>
      <c r="J595" s="188"/>
      <c r="K595" s="252"/>
      <c r="L595" s="188"/>
      <c r="M595" s="52"/>
    </row>
    <row r="596" spans="1:13" ht="15.75">
      <c r="A596" s="50"/>
      <c r="B596" s="4"/>
      <c r="C596" s="188"/>
      <c r="D596" s="188"/>
      <c r="E596" s="52"/>
      <c r="F596" s="188"/>
      <c r="G596" s="39"/>
      <c r="H596" s="39"/>
      <c r="I596" s="252"/>
      <c r="J596" s="188"/>
      <c r="K596" s="252"/>
      <c r="L596" s="188"/>
      <c r="M596" s="52"/>
    </row>
    <row r="597" spans="1:13" ht="15.75">
      <c r="A597" s="50"/>
      <c r="B597" s="4"/>
      <c r="C597" s="188"/>
      <c r="D597" s="188"/>
      <c r="E597" s="52"/>
      <c r="F597" s="188"/>
      <c r="G597" s="39"/>
      <c r="H597" s="39"/>
      <c r="I597" s="252"/>
      <c r="J597" s="188"/>
      <c r="K597" s="252"/>
      <c r="L597" s="188"/>
      <c r="M597" s="52"/>
    </row>
    <row r="598" spans="1:13" ht="15.75">
      <c r="A598" s="50"/>
      <c r="B598" s="4"/>
      <c r="C598" s="188"/>
      <c r="D598" s="188"/>
      <c r="E598" s="52"/>
      <c r="F598" s="188"/>
      <c r="G598" s="39"/>
      <c r="H598" s="39"/>
      <c r="I598" s="252"/>
      <c r="J598" s="188"/>
      <c r="K598" s="252"/>
      <c r="L598" s="188"/>
      <c r="M598" s="52"/>
    </row>
    <row r="599" spans="1:13" ht="15.75">
      <c r="A599" s="50"/>
      <c r="B599" s="4"/>
      <c r="C599" s="188"/>
      <c r="D599" s="188"/>
      <c r="E599" s="52"/>
      <c r="F599" s="188"/>
      <c r="G599" s="39"/>
      <c r="H599" s="39"/>
      <c r="I599" s="252"/>
      <c r="J599" s="188"/>
      <c r="K599" s="252"/>
      <c r="L599" s="188"/>
      <c r="M599" s="52"/>
    </row>
    <row r="600" spans="1:13" ht="15.75">
      <c r="A600" s="50"/>
      <c r="B600" s="4"/>
      <c r="C600" s="188"/>
      <c r="D600" s="188"/>
      <c r="E600" s="52"/>
      <c r="F600" s="188"/>
      <c r="G600" s="39"/>
      <c r="H600" s="39"/>
      <c r="I600" s="252"/>
      <c r="J600" s="188"/>
      <c r="K600" s="252"/>
      <c r="L600" s="188"/>
      <c r="M600" s="52"/>
    </row>
    <row r="601" spans="1:13" ht="15.75">
      <c r="A601" s="50"/>
      <c r="B601" s="4"/>
      <c r="C601" s="188"/>
      <c r="D601" s="188"/>
      <c r="E601" s="52"/>
      <c r="F601" s="188"/>
      <c r="G601" s="39"/>
      <c r="H601" s="39"/>
      <c r="I601" s="252"/>
      <c r="J601" s="188"/>
      <c r="K601" s="252"/>
      <c r="L601" s="188"/>
      <c r="M601" s="52"/>
    </row>
    <row r="602" spans="1:13" ht="15.75">
      <c r="A602" s="50"/>
      <c r="B602" s="4"/>
      <c r="C602" s="188"/>
      <c r="D602" s="188"/>
      <c r="E602" s="52"/>
      <c r="F602" s="188"/>
      <c r="G602" s="39"/>
      <c r="H602" s="39"/>
      <c r="I602" s="252"/>
      <c r="J602" s="188"/>
      <c r="K602" s="252"/>
      <c r="L602" s="188"/>
      <c r="M602" s="52"/>
    </row>
    <row r="603" spans="1:13" ht="15.75">
      <c r="A603" s="50"/>
      <c r="B603" s="4"/>
      <c r="C603" s="188"/>
      <c r="D603" s="188"/>
      <c r="E603" s="52"/>
      <c r="F603" s="188"/>
      <c r="G603" s="39"/>
      <c r="H603" s="39"/>
      <c r="I603" s="252"/>
      <c r="J603" s="188"/>
      <c r="K603" s="252"/>
      <c r="L603" s="188"/>
      <c r="M603" s="52"/>
    </row>
    <row r="604" spans="1:13" ht="15.75">
      <c r="A604" s="50"/>
      <c r="B604" s="4"/>
      <c r="C604" s="188"/>
      <c r="D604" s="188"/>
      <c r="E604" s="52"/>
      <c r="F604" s="188"/>
      <c r="G604" s="39"/>
      <c r="H604" s="39"/>
      <c r="I604" s="252"/>
      <c r="J604" s="188"/>
      <c r="K604" s="252"/>
      <c r="L604" s="188"/>
      <c r="M604" s="52"/>
    </row>
    <row r="605" spans="1:13" ht="15.75">
      <c r="A605" s="50"/>
      <c r="B605" s="4"/>
      <c r="C605" s="188"/>
      <c r="D605" s="188"/>
      <c r="E605" s="52"/>
      <c r="F605" s="188"/>
      <c r="G605" s="39"/>
      <c r="H605" s="39"/>
      <c r="I605" s="252"/>
      <c r="J605" s="188"/>
      <c r="K605" s="252"/>
      <c r="L605" s="188"/>
      <c r="M605" s="52"/>
    </row>
    <row r="606" spans="1:13" ht="15.75">
      <c r="A606" s="50"/>
      <c r="B606" s="4"/>
      <c r="C606" s="188"/>
      <c r="D606" s="188"/>
      <c r="E606" s="52"/>
      <c r="F606" s="188"/>
      <c r="G606" s="39"/>
      <c r="H606" s="39"/>
      <c r="I606" s="252"/>
      <c r="J606" s="188"/>
      <c r="K606" s="252"/>
      <c r="L606" s="188"/>
      <c r="M606" s="52"/>
    </row>
    <row r="607" spans="1:13" ht="15.75">
      <c r="A607" s="50"/>
      <c r="B607" s="4"/>
      <c r="C607" s="188"/>
      <c r="D607" s="188"/>
      <c r="E607" s="52"/>
      <c r="F607" s="188"/>
      <c r="G607" s="39"/>
      <c r="H607" s="39"/>
      <c r="I607" s="252"/>
      <c r="J607" s="188"/>
      <c r="K607" s="252"/>
      <c r="L607" s="188"/>
      <c r="M607" s="52"/>
    </row>
    <row r="608" spans="1:13" ht="15.75">
      <c r="A608" s="50"/>
      <c r="B608" s="4"/>
      <c r="C608" s="188"/>
      <c r="D608" s="188"/>
      <c r="E608" s="52"/>
      <c r="F608" s="188"/>
      <c r="G608" s="39"/>
      <c r="H608" s="39"/>
      <c r="I608" s="252"/>
      <c r="J608" s="188"/>
      <c r="K608" s="252"/>
      <c r="L608" s="188"/>
      <c r="M608" s="52"/>
    </row>
    <row r="609" spans="1:13" ht="15.75">
      <c r="A609" s="50"/>
      <c r="B609" s="4"/>
      <c r="C609" s="188"/>
      <c r="D609" s="188"/>
      <c r="E609" s="52"/>
      <c r="F609" s="188"/>
      <c r="G609" s="39"/>
      <c r="H609" s="39"/>
      <c r="I609" s="252"/>
      <c r="J609" s="188"/>
      <c r="K609" s="252"/>
      <c r="L609" s="188"/>
      <c r="M609" s="52"/>
    </row>
    <row r="610" spans="1:13" ht="15.75">
      <c r="A610" s="50"/>
      <c r="B610" s="4"/>
      <c r="C610" s="188"/>
      <c r="D610" s="188"/>
      <c r="E610" s="52"/>
      <c r="F610" s="188"/>
      <c r="G610" s="39"/>
      <c r="H610" s="39"/>
      <c r="I610" s="252"/>
      <c r="J610" s="188"/>
      <c r="K610" s="252"/>
      <c r="L610" s="188"/>
      <c r="M610" s="52"/>
    </row>
    <row r="611" spans="1:13" ht="15.75">
      <c r="A611" s="50"/>
      <c r="B611" s="4"/>
      <c r="C611" s="188"/>
      <c r="D611" s="188"/>
      <c r="E611" s="52"/>
      <c r="F611" s="188"/>
      <c r="G611" s="39"/>
      <c r="H611" s="39"/>
      <c r="I611" s="252"/>
      <c r="J611" s="188"/>
      <c r="K611" s="252"/>
      <c r="L611" s="188"/>
      <c r="M611" s="52"/>
    </row>
    <row r="612" spans="1:13" ht="15.75">
      <c r="A612" s="50"/>
      <c r="B612" s="4"/>
      <c r="C612" s="188"/>
      <c r="D612" s="188"/>
      <c r="E612" s="52"/>
      <c r="F612" s="188"/>
      <c r="G612" s="39"/>
      <c r="H612" s="39"/>
      <c r="I612" s="252"/>
      <c r="J612" s="188"/>
      <c r="K612" s="252"/>
      <c r="L612" s="188"/>
      <c r="M612" s="52"/>
    </row>
    <row r="613" spans="1:13" ht="15.75">
      <c r="A613" s="50"/>
      <c r="B613" s="4"/>
      <c r="C613" s="188"/>
      <c r="D613" s="188"/>
      <c r="E613" s="52"/>
      <c r="F613" s="188"/>
      <c r="G613" s="39"/>
      <c r="H613" s="39"/>
      <c r="I613" s="252"/>
      <c r="J613" s="188"/>
      <c r="K613" s="252"/>
      <c r="L613" s="188"/>
      <c r="M613" s="52"/>
    </row>
    <row r="614" spans="1:13" ht="15.75">
      <c r="A614" s="50"/>
      <c r="B614" s="4"/>
      <c r="C614" s="188"/>
      <c r="D614" s="188"/>
      <c r="E614" s="52"/>
      <c r="F614" s="188"/>
      <c r="G614" s="39"/>
      <c r="H614" s="39"/>
      <c r="I614" s="252"/>
      <c r="J614" s="188"/>
      <c r="K614" s="252"/>
      <c r="L614" s="188"/>
      <c r="M614" s="52"/>
    </row>
    <row r="615" spans="1:13" ht="15.75">
      <c r="A615" s="50"/>
      <c r="B615" s="4"/>
      <c r="C615" s="188"/>
      <c r="D615" s="188"/>
      <c r="E615" s="52"/>
      <c r="F615" s="188"/>
      <c r="G615" s="39"/>
      <c r="H615" s="39"/>
      <c r="I615" s="252"/>
      <c r="J615" s="188"/>
      <c r="K615" s="252"/>
      <c r="L615" s="188"/>
      <c r="M615" s="52"/>
    </row>
    <row r="616" spans="1:13" ht="15.75">
      <c r="A616" s="50"/>
      <c r="B616" s="4"/>
      <c r="C616" s="188"/>
      <c r="D616" s="188"/>
      <c r="E616" s="52"/>
      <c r="F616" s="188"/>
      <c r="G616" s="39"/>
      <c r="H616" s="39"/>
      <c r="I616" s="252"/>
      <c r="J616" s="188"/>
      <c r="K616" s="252"/>
      <c r="L616" s="188"/>
      <c r="M616" s="52"/>
    </row>
    <row r="617" spans="1:13" ht="15.75">
      <c r="A617" s="50"/>
      <c r="B617" s="4"/>
      <c r="C617" s="188"/>
      <c r="D617" s="188"/>
      <c r="E617" s="52"/>
      <c r="F617" s="188"/>
      <c r="G617" s="39"/>
      <c r="H617" s="39"/>
      <c r="I617" s="252"/>
      <c r="J617" s="188"/>
      <c r="K617" s="252"/>
      <c r="L617" s="188"/>
      <c r="M617" s="52"/>
    </row>
    <row r="618" spans="1:13" ht="15.75">
      <c r="A618" s="50"/>
      <c r="B618" s="4"/>
      <c r="C618" s="188"/>
      <c r="D618" s="188"/>
      <c r="E618" s="52"/>
      <c r="F618" s="188"/>
      <c r="G618" s="39"/>
      <c r="H618" s="39"/>
      <c r="I618" s="252"/>
      <c r="J618" s="188"/>
      <c r="K618" s="252"/>
      <c r="L618" s="188"/>
      <c r="M618" s="52"/>
    </row>
    <row r="619" spans="1:13" ht="15.75">
      <c r="A619" s="50"/>
      <c r="B619" s="4"/>
      <c r="C619" s="188"/>
      <c r="D619" s="188"/>
      <c r="E619" s="52"/>
      <c r="F619" s="188"/>
      <c r="G619" s="39"/>
      <c r="H619" s="39"/>
      <c r="I619" s="252"/>
      <c r="J619" s="188"/>
      <c r="K619" s="252"/>
      <c r="L619" s="188"/>
      <c r="M619" s="52"/>
    </row>
    <row r="620" spans="1:13" ht="15.75">
      <c r="A620" s="50"/>
      <c r="B620" s="4"/>
      <c r="C620" s="188"/>
      <c r="D620" s="188"/>
      <c r="E620" s="52"/>
      <c r="F620" s="188"/>
      <c r="G620" s="39"/>
      <c r="H620" s="39"/>
      <c r="I620" s="252"/>
      <c r="J620" s="188"/>
      <c r="K620" s="252"/>
      <c r="L620" s="188"/>
      <c r="M620" s="52"/>
    </row>
    <row r="621" spans="1:13" ht="15.75">
      <c r="A621" s="50"/>
      <c r="B621" s="4"/>
      <c r="C621" s="188"/>
      <c r="D621" s="188"/>
      <c r="E621" s="52"/>
      <c r="F621" s="188"/>
      <c r="G621" s="39"/>
      <c r="H621" s="39"/>
      <c r="I621" s="252"/>
      <c r="J621" s="188"/>
      <c r="K621" s="252"/>
      <c r="L621" s="188"/>
      <c r="M621" s="52"/>
    </row>
    <row r="622" spans="1:13" ht="15.75">
      <c r="A622" s="50"/>
      <c r="B622" s="4"/>
      <c r="C622" s="188"/>
      <c r="D622" s="188"/>
      <c r="E622" s="52"/>
      <c r="F622" s="188"/>
      <c r="G622" s="39"/>
      <c r="H622" s="39"/>
      <c r="I622" s="252"/>
      <c r="J622" s="188"/>
      <c r="K622" s="252"/>
      <c r="L622" s="188"/>
      <c r="M622" s="52"/>
    </row>
    <row r="623" spans="1:13" ht="15.75">
      <c r="A623" s="50"/>
      <c r="B623" s="4"/>
      <c r="C623" s="188"/>
      <c r="D623" s="188"/>
      <c r="E623" s="52"/>
      <c r="F623" s="188"/>
      <c r="G623" s="39"/>
      <c r="H623" s="39"/>
      <c r="I623" s="252"/>
      <c r="J623" s="188"/>
      <c r="K623" s="252"/>
      <c r="L623" s="188"/>
      <c r="M623" s="52"/>
    </row>
    <row r="624" spans="1:13" ht="15.75">
      <c r="A624" s="50"/>
      <c r="B624" s="4"/>
      <c r="C624" s="188"/>
      <c r="D624" s="188"/>
      <c r="E624" s="52"/>
      <c r="F624" s="188"/>
      <c r="G624" s="39"/>
      <c r="H624" s="39"/>
      <c r="I624" s="252"/>
      <c r="J624" s="188"/>
      <c r="K624" s="252"/>
      <c r="L624" s="188"/>
      <c r="M624" s="52"/>
    </row>
    <row r="625" spans="1:13" ht="15.75">
      <c r="A625" s="50"/>
      <c r="B625" s="4"/>
      <c r="C625" s="188"/>
      <c r="D625" s="188"/>
      <c r="E625" s="52"/>
      <c r="F625" s="188"/>
      <c r="G625" s="39"/>
      <c r="H625" s="39"/>
      <c r="I625" s="252"/>
      <c r="J625" s="188"/>
      <c r="K625" s="252"/>
      <c r="L625" s="188"/>
      <c r="M625" s="52"/>
    </row>
    <row r="626" spans="1:13" ht="15.75">
      <c r="A626" s="50"/>
      <c r="B626" s="4"/>
      <c r="C626" s="188"/>
      <c r="D626" s="188"/>
      <c r="E626" s="52"/>
      <c r="F626" s="188"/>
      <c r="G626" s="39"/>
      <c r="H626" s="39"/>
      <c r="I626" s="252"/>
      <c r="J626" s="188"/>
      <c r="K626" s="252"/>
      <c r="L626" s="188"/>
      <c r="M626" s="52"/>
    </row>
    <row r="627" spans="1:13" ht="15.75">
      <c r="A627" s="50"/>
      <c r="B627" s="4"/>
      <c r="C627" s="188"/>
      <c r="D627" s="188"/>
      <c r="E627" s="52"/>
      <c r="F627" s="188"/>
      <c r="G627" s="39"/>
      <c r="H627" s="39"/>
      <c r="I627" s="252"/>
      <c r="J627" s="188"/>
      <c r="K627" s="252"/>
      <c r="L627" s="188"/>
      <c r="M627" s="52"/>
    </row>
    <row r="628" spans="1:13" ht="15.75">
      <c r="A628" s="50"/>
      <c r="B628" s="4"/>
      <c r="C628" s="188"/>
      <c r="D628" s="188"/>
      <c r="E628" s="52"/>
      <c r="F628" s="188"/>
      <c r="G628" s="39"/>
      <c r="H628" s="39"/>
      <c r="I628" s="252"/>
      <c r="J628" s="188"/>
      <c r="K628" s="252"/>
      <c r="L628" s="188"/>
      <c r="M628" s="52"/>
    </row>
    <row r="629" spans="1:13" ht="15.75">
      <c r="A629" s="50"/>
      <c r="B629" s="4"/>
      <c r="C629" s="188"/>
      <c r="D629" s="188"/>
      <c r="E629" s="52"/>
      <c r="F629" s="188"/>
      <c r="G629" s="39"/>
      <c r="H629" s="39"/>
      <c r="I629" s="252"/>
      <c r="J629" s="188"/>
      <c r="K629" s="252"/>
      <c r="L629" s="188"/>
      <c r="M629" s="52"/>
    </row>
    <row r="630" spans="1:13" ht="15.75">
      <c r="A630" s="50"/>
      <c r="B630" s="4"/>
      <c r="C630" s="188"/>
      <c r="D630" s="188"/>
      <c r="E630" s="52"/>
      <c r="F630" s="188"/>
      <c r="G630" s="39"/>
      <c r="H630" s="39"/>
      <c r="I630" s="252"/>
      <c r="J630" s="188"/>
      <c r="K630" s="252"/>
      <c r="L630" s="188"/>
      <c r="M630" s="52"/>
    </row>
    <row r="631" spans="1:13" ht="15.75">
      <c r="A631" s="50"/>
      <c r="B631" s="4"/>
      <c r="C631" s="188"/>
      <c r="D631" s="188"/>
      <c r="E631" s="52"/>
      <c r="F631" s="188"/>
      <c r="G631" s="39"/>
      <c r="H631" s="39"/>
      <c r="I631" s="252"/>
      <c r="J631" s="188"/>
      <c r="K631" s="252"/>
      <c r="L631" s="188"/>
      <c r="M631" s="52"/>
    </row>
    <row r="632" spans="1:13" ht="15.75">
      <c r="A632" s="50"/>
      <c r="B632" s="4"/>
      <c r="C632" s="188"/>
      <c r="D632" s="188"/>
      <c r="E632" s="52"/>
      <c r="F632" s="188"/>
      <c r="G632" s="39"/>
      <c r="H632" s="39"/>
      <c r="I632" s="252"/>
      <c r="J632" s="188"/>
      <c r="K632" s="252"/>
      <c r="L632" s="188"/>
      <c r="M632" s="52"/>
    </row>
    <row r="633" spans="1:13" ht="15.75">
      <c r="A633" s="50"/>
      <c r="B633" s="4"/>
      <c r="C633" s="188"/>
      <c r="D633" s="188"/>
      <c r="E633" s="52"/>
      <c r="F633" s="188"/>
      <c r="G633" s="39"/>
      <c r="H633" s="39"/>
      <c r="I633" s="252"/>
      <c r="J633" s="188"/>
      <c r="K633" s="252"/>
      <c r="L633" s="188"/>
      <c r="M633" s="52"/>
    </row>
    <row r="634" spans="1:13" ht="15.75">
      <c r="A634" s="50"/>
      <c r="B634" s="4"/>
      <c r="C634" s="188"/>
      <c r="D634" s="188"/>
      <c r="E634" s="52"/>
      <c r="F634" s="188"/>
      <c r="G634" s="39"/>
      <c r="H634" s="39"/>
      <c r="I634" s="252"/>
      <c r="J634" s="188"/>
      <c r="K634" s="252"/>
      <c r="L634" s="188"/>
      <c r="M634" s="52"/>
    </row>
    <row r="635" spans="1:13" ht="15.75">
      <c r="A635" s="50"/>
      <c r="B635" s="4"/>
      <c r="C635" s="188"/>
      <c r="D635" s="188"/>
      <c r="E635" s="52"/>
      <c r="F635" s="188"/>
      <c r="G635" s="39"/>
      <c r="H635" s="39"/>
      <c r="I635" s="252"/>
      <c r="J635" s="188"/>
      <c r="K635" s="252"/>
      <c r="L635" s="188"/>
      <c r="M635" s="52"/>
    </row>
    <row r="636" spans="1:13" ht="15.75">
      <c r="A636" s="50"/>
      <c r="B636" s="4"/>
      <c r="C636" s="188"/>
      <c r="D636" s="188"/>
      <c r="E636" s="52"/>
      <c r="F636" s="188"/>
      <c r="G636" s="39"/>
      <c r="H636" s="39"/>
      <c r="I636" s="252"/>
      <c r="J636" s="188"/>
      <c r="K636" s="252"/>
      <c r="L636" s="188"/>
      <c r="M636" s="52"/>
    </row>
    <row r="637" spans="1:13" ht="15.75">
      <c r="A637" s="50"/>
      <c r="B637" s="4"/>
      <c r="C637" s="188"/>
      <c r="D637" s="188"/>
      <c r="E637" s="52"/>
      <c r="F637" s="188"/>
      <c r="G637" s="39"/>
      <c r="H637" s="39"/>
      <c r="I637" s="252"/>
      <c r="J637" s="188"/>
      <c r="K637" s="252"/>
      <c r="L637" s="188"/>
      <c r="M637" s="52"/>
    </row>
    <row r="638" spans="1:13" ht="15.75">
      <c r="A638" s="50"/>
      <c r="B638" s="4"/>
      <c r="C638" s="188"/>
      <c r="D638" s="188"/>
      <c r="E638" s="52"/>
      <c r="F638" s="188"/>
      <c r="G638" s="39"/>
      <c r="H638" s="39"/>
      <c r="I638" s="252"/>
      <c r="J638" s="188"/>
      <c r="K638" s="252"/>
      <c r="L638" s="188"/>
      <c r="M638" s="52"/>
    </row>
    <row r="639" spans="1:13" ht="15.75">
      <c r="A639" s="50"/>
      <c r="B639" s="4"/>
      <c r="C639" s="188"/>
      <c r="D639" s="188"/>
      <c r="E639" s="52"/>
      <c r="F639" s="188"/>
      <c r="G639" s="39"/>
      <c r="H639" s="39"/>
      <c r="I639" s="252"/>
      <c r="J639" s="188"/>
      <c r="K639" s="252"/>
      <c r="L639" s="188"/>
      <c r="M639" s="52"/>
    </row>
    <row r="640" spans="1:13" ht="15.75">
      <c r="A640" s="50"/>
      <c r="B640" s="4"/>
      <c r="C640" s="188"/>
      <c r="D640" s="188"/>
      <c r="E640" s="52"/>
      <c r="F640" s="188"/>
      <c r="G640" s="39"/>
      <c r="H640" s="39"/>
      <c r="I640" s="252"/>
      <c r="J640" s="188"/>
      <c r="K640" s="252"/>
      <c r="L640" s="188"/>
      <c r="M640" s="52"/>
    </row>
    <row r="641" spans="1:13" ht="15.75">
      <c r="A641" s="50"/>
      <c r="B641" s="4"/>
      <c r="C641" s="188"/>
      <c r="D641" s="188"/>
      <c r="E641" s="52"/>
      <c r="F641" s="188"/>
      <c r="G641" s="39"/>
      <c r="H641" s="39"/>
      <c r="I641" s="252"/>
      <c r="J641" s="188"/>
      <c r="K641" s="252"/>
      <c r="L641" s="188"/>
      <c r="M641" s="52"/>
    </row>
    <row r="642" spans="1:13" ht="15.75">
      <c r="A642" s="50"/>
      <c r="B642" s="4"/>
      <c r="C642" s="188"/>
      <c r="D642" s="188"/>
      <c r="E642" s="52"/>
      <c r="F642" s="188"/>
      <c r="G642" s="39"/>
      <c r="H642" s="39"/>
      <c r="I642" s="252"/>
      <c r="J642" s="188"/>
      <c r="K642" s="252"/>
      <c r="L642" s="188"/>
      <c r="M642" s="52"/>
    </row>
    <row r="643" spans="1:13" ht="15.75">
      <c r="A643" s="50"/>
      <c r="B643" s="4"/>
      <c r="C643" s="188"/>
      <c r="D643" s="188"/>
      <c r="E643" s="52"/>
      <c r="F643" s="188"/>
      <c r="G643" s="39"/>
      <c r="H643" s="39"/>
      <c r="I643" s="252"/>
      <c r="J643" s="188"/>
      <c r="K643" s="252"/>
      <c r="L643" s="188"/>
      <c r="M643" s="52"/>
    </row>
    <row r="644" spans="1:13" ht="15.75">
      <c r="A644" s="50"/>
      <c r="B644" s="4"/>
      <c r="C644" s="188"/>
      <c r="D644" s="188"/>
      <c r="E644" s="52"/>
      <c r="F644" s="188"/>
      <c r="G644" s="39"/>
      <c r="H644" s="39"/>
      <c r="I644" s="252"/>
      <c r="J644" s="188"/>
      <c r="K644" s="252"/>
      <c r="L644" s="188"/>
      <c r="M644" s="52"/>
    </row>
    <row r="645" spans="1:13" ht="15.75">
      <c r="A645" s="50"/>
      <c r="B645" s="4"/>
      <c r="C645" s="188"/>
      <c r="D645" s="188"/>
      <c r="E645" s="52"/>
      <c r="F645" s="188"/>
      <c r="G645" s="39"/>
      <c r="H645" s="39"/>
      <c r="I645" s="252"/>
      <c r="J645" s="188"/>
      <c r="K645" s="252"/>
      <c r="L645" s="188"/>
      <c r="M645" s="52"/>
    </row>
    <row r="646" spans="1:13" ht="15.75">
      <c r="A646" s="50"/>
      <c r="B646" s="4"/>
      <c r="C646" s="188"/>
      <c r="D646" s="188"/>
      <c r="E646" s="52"/>
      <c r="F646" s="188"/>
      <c r="G646" s="39"/>
      <c r="H646" s="39"/>
      <c r="I646" s="252"/>
      <c r="J646" s="188"/>
      <c r="K646" s="252"/>
      <c r="L646" s="188"/>
      <c r="M646" s="52"/>
    </row>
    <row r="647" spans="1:13" ht="15.75">
      <c r="A647" s="50"/>
      <c r="B647" s="4"/>
      <c r="C647" s="188"/>
      <c r="D647" s="188"/>
      <c r="E647" s="52"/>
      <c r="F647" s="188"/>
      <c r="G647" s="39"/>
      <c r="H647" s="39"/>
      <c r="I647" s="252"/>
      <c r="J647" s="188"/>
      <c r="K647" s="252"/>
      <c r="L647" s="188"/>
      <c r="M647" s="52"/>
    </row>
    <row r="648" spans="1:13" ht="15.75">
      <c r="A648" s="50"/>
      <c r="B648" s="4"/>
      <c r="C648" s="188"/>
      <c r="D648" s="188"/>
      <c r="E648" s="52"/>
      <c r="F648" s="188"/>
      <c r="G648" s="39"/>
      <c r="H648" s="39"/>
      <c r="I648" s="252"/>
      <c r="J648" s="188"/>
      <c r="K648" s="252"/>
      <c r="L648" s="188"/>
      <c r="M648" s="52"/>
    </row>
    <row r="649" spans="1:13" ht="15.75">
      <c r="A649" s="50"/>
      <c r="B649" s="4"/>
      <c r="C649" s="188"/>
      <c r="D649" s="188"/>
      <c r="E649" s="52"/>
      <c r="F649" s="188"/>
      <c r="G649" s="39"/>
      <c r="H649" s="39"/>
      <c r="I649" s="252"/>
      <c r="J649" s="188"/>
      <c r="K649" s="252"/>
      <c r="L649" s="188"/>
      <c r="M649" s="52"/>
    </row>
    <row r="650" spans="1:13" ht="15.75">
      <c r="A650" s="50"/>
      <c r="B650" s="4"/>
      <c r="C650" s="188"/>
      <c r="D650" s="188"/>
      <c r="E650" s="52"/>
      <c r="F650" s="188"/>
      <c r="G650" s="39"/>
      <c r="H650" s="39"/>
      <c r="I650" s="252"/>
      <c r="J650" s="188"/>
      <c r="K650" s="252"/>
      <c r="L650" s="188"/>
      <c r="M650" s="52"/>
    </row>
    <row r="651" spans="1:13" ht="15.75">
      <c r="A651" s="50"/>
      <c r="B651" s="4"/>
      <c r="C651" s="188"/>
      <c r="D651" s="188"/>
      <c r="E651" s="52"/>
      <c r="F651" s="188"/>
      <c r="G651" s="39"/>
      <c r="H651" s="39"/>
      <c r="I651" s="252"/>
      <c r="J651" s="188"/>
      <c r="K651" s="252"/>
      <c r="L651" s="188"/>
      <c r="M651" s="52"/>
    </row>
    <row r="652" spans="1:13" ht="15.75">
      <c r="A652" s="50"/>
      <c r="B652" s="4"/>
      <c r="C652" s="188"/>
      <c r="D652" s="188"/>
      <c r="E652" s="52"/>
      <c r="F652" s="188"/>
      <c r="G652" s="39"/>
      <c r="H652" s="39"/>
      <c r="I652" s="252"/>
      <c r="J652" s="188"/>
      <c r="K652" s="252"/>
      <c r="L652" s="188"/>
      <c r="M652" s="52"/>
    </row>
    <row r="653" spans="1:13" ht="15.75">
      <c r="A653" s="50"/>
      <c r="B653" s="4"/>
      <c r="C653" s="188"/>
      <c r="D653" s="188"/>
      <c r="E653" s="52"/>
      <c r="F653" s="188"/>
      <c r="G653" s="39"/>
      <c r="H653" s="39"/>
      <c r="I653" s="252"/>
      <c r="J653" s="188"/>
      <c r="K653" s="252"/>
      <c r="L653" s="188"/>
      <c r="M653" s="52"/>
    </row>
    <row r="654" spans="1:13" ht="15.75">
      <c r="A654" s="50"/>
      <c r="B654" s="4"/>
      <c r="C654" s="188"/>
      <c r="D654" s="188"/>
      <c r="E654" s="52"/>
      <c r="F654" s="188"/>
      <c r="G654" s="39"/>
      <c r="H654" s="39"/>
      <c r="I654" s="252"/>
      <c r="J654" s="188"/>
      <c r="K654" s="252"/>
      <c r="L654" s="188"/>
      <c r="M654" s="52"/>
    </row>
    <row r="655" spans="1:13" ht="15.75">
      <c r="A655" s="50"/>
      <c r="B655" s="4"/>
      <c r="C655" s="188"/>
      <c r="D655" s="188"/>
      <c r="E655" s="52"/>
      <c r="F655" s="188"/>
      <c r="G655" s="39"/>
      <c r="H655" s="39"/>
      <c r="I655" s="252"/>
      <c r="J655" s="188"/>
      <c r="K655" s="252"/>
      <c r="L655" s="188"/>
      <c r="M655" s="52"/>
    </row>
    <row r="656" spans="1:13" ht="15.75">
      <c r="A656" s="50"/>
      <c r="B656" s="4"/>
      <c r="C656" s="188"/>
      <c r="D656" s="188"/>
      <c r="E656" s="52"/>
      <c r="F656" s="188"/>
      <c r="G656" s="39"/>
      <c r="H656" s="39"/>
      <c r="I656" s="252"/>
      <c r="J656" s="188"/>
      <c r="K656" s="252"/>
      <c r="L656" s="188"/>
      <c r="M656" s="52"/>
    </row>
    <row r="657" spans="1:13" ht="15.75">
      <c r="A657" s="50"/>
      <c r="B657" s="4"/>
      <c r="C657" s="188"/>
      <c r="D657" s="188"/>
      <c r="E657" s="52"/>
      <c r="F657" s="188"/>
      <c r="G657" s="39"/>
      <c r="H657" s="39"/>
      <c r="I657" s="252"/>
      <c r="J657" s="188"/>
      <c r="K657" s="252"/>
      <c r="L657" s="188"/>
      <c r="M657" s="52"/>
    </row>
    <row r="658" spans="1:13" ht="15.75">
      <c r="A658" s="50"/>
      <c r="B658" s="4"/>
      <c r="C658" s="188"/>
      <c r="D658" s="188"/>
      <c r="E658" s="52"/>
      <c r="F658" s="188"/>
      <c r="G658" s="39"/>
      <c r="H658" s="39"/>
      <c r="I658" s="252"/>
      <c r="J658" s="188"/>
      <c r="K658" s="252"/>
      <c r="L658" s="188"/>
      <c r="M658" s="52"/>
    </row>
    <row r="659" spans="1:13" ht="15.75">
      <c r="A659" s="50"/>
      <c r="B659" s="4"/>
      <c r="C659" s="188"/>
      <c r="D659" s="188"/>
      <c r="E659" s="52"/>
      <c r="F659" s="188"/>
      <c r="G659" s="39"/>
      <c r="H659" s="39"/>
      <c r="I659" s="252"/>
      <c r="J659" s="188"/>
      <c r="K659" s="252"/>
      <c r="L659" s="188"/>
      <c r="M659" s="52"/>
    </row>
    <row r="660" spans="1:13" ht="15.75">
      <c r="A660" s="50"/>
      <c r="B660" s="4"/>
      <c r="C660" s="188"/>
      <c r="D660" s="188"/>
      <c r="E660" s="52"/>
      <c r="F660" s="188"/>
      <c r="G660" s="39"/>
      <c r="H660" s="39"/>
      <c r="I660" s="252"/>
      <c r="J660" s="188"/>
      <c r="K660" s="252"/>
      <c r="L660" s="188"/>
      <c r="M660" s="52"/>
    </row>
    <row r="661" spans="1:13" ht="15.75">
      <c r="A661" s="50"/>
      <c r="B661" s="4"/>
      <c r="C661" s="188"/>
      <c r="D661" s="188"/>
      <c r="E661" s="52"/>
      <c r="F661" s="188"/>
      <c r="G661" s="39"/>
      <c r="H661" s="39"/>
      <c r="I661" s="252"/>
      <c r="J661" s="188"/>
      <c r="K661" s="252"/>
      <c r="L661" s="188"/>
      <c r="M661" s="52"/>
    </row>
    <row r="662" spans="1:13" ht="15.75">
      <c r="A662" s="50"/>
      <c r="B662" s="4"/>
      <c r="C662" s="188"/>
      <c r="D662" s="188"/>
      <c r="E662" s="52"/>
      <c r="F662" s="188"/>
      <c r="G662" s="39"/>
      <c r="H662" s="39"/>
      <c r="I662" s="252"/>
      <c r="J662" s="188"/>
      <c r="K662" s="252"/>
      <c r="L662" s="188"/>
      <c r="M662" s="52"/>
    </row>
    <row r="663" spans="1:13" ht="15.75">
      <c r="A663" s="50"/>
      <c r="B663" s="4"/>
      <c r="C663" s="188"/>
      <c r="D663" s="188"/>
      <c r="E663" s="52"/>
      <c r="F663" s="188"/>
      <c r="G663" s="39"/>
      <c r="H663" s="39"/>
      <c r="I663" s="252"/>
      <c r="J663" s="188"/>
      <c r="K663" s="252"/>
      <c r="L663" s="188"/>
      <c r="M663" s="52"/>
    </row>
    <row r="664" spans="1:13" ht="15.75">
      <c r="A664" s="50"/>
      <c r="B664" s="4"/>
      <c r="C664" s="188"/>
      <c r="D664" s="188"/>
      <c r="E664" s="52"/>
      <c r="F664" s="188"/>
      <c r="G664" s="39"/>
      <c r="H664" s="39"/>
      <c r="I664" s="252"/>
      <c r="J664" s="188"/>
      <c r="K664" s="252"/>
      <c r="L664" s="188"/>
      <c r="M664" s="52"/>
    </row>
    <row r="665" spans="1:13" ht="15.75">
      <c r="A665" s="50"/>
      <c r="B665" s="4"/>
      <c r="C665" s="188"/>
      <c r="D665" s="188"/>
      <c r="E665" s="52"/>
      <c r="F665" s="188"/>
      <c r="G665" s="39"/>
      <c r="H665" s="39"/>
      <c r="I665" s="252"/>
      <c r="J665" s="188"/>
      <c r="K665" s="252"/>
      <c r="L665" s="188"/>
      <c r="M665" s="52"/>
    </row>
    <row r="666" spans="1:13" ht="15.75">
      <c r="A666" s="50"/>
      <c r="B666" s="4"/>
      <c r="C666" s="188"/>
      <c r="D666" s="188"/>
      <c r="E666" s="52"/>
      <c r="F666" s="188"/>
      <c r="G666" s="39"/>
      <c r="H666" s="39"/>
      <c r="I666" s="252"/>
      <c r="J666" s="188"/>
      <c r="K666" s="252"/>
      <c r="L666" s="188"/>
      <c r="M666" s="52"/>
    </row>
    <row r="667" spans="1:13" ht="15.75">
      <c r="A667" s="50"/>
      <c r="B667" s="4"/>
      <c r="C667" s="188"/>
      <c r="D667" s="188"/>
      <c r="E667" s="52"/>
      <c r="F667" s="188"/>
      <c r="G667" s="39"/>
      <c r="H667" s="39"/>
      <c r="I667" s="252"/>
      <c r="J667" s="188"/>
      <c r="K667" s="252"/>
      <c r="L667" s="188"/>
      <c r="M667" s="52"/>
    </row>
    <row r="668" spans="1:13" ht="15.75">
      <c r="A668" s="50"/>
      <c r="B668" s="4"/>
      <c r="C668" s="188"/>
      <c r="D668" s="188"/>
      <c r="E668" s="52"/>
      <c r="F668" s="188"/>
      <c r="G668" s="39"/>
      <c r="H668" s="39"/>
      <c r="I668" s="252"/>
      <c r="J668" s="188"/>
      <c r="K668" s="252"/>
      <c r="L668" s="188"/>
      <c r="M668" s="52"/>
    </row>
    <row r="669" spans="1:13" ht="15.75">
      <c r="A669" s="50"/>
      <c r="B669" s="4"/>
      <c r="C669" s="188"/>
      <c r="D669" s="188"/>
      <c r="E669" s="52"/>
      <c r="F669" s="188"/>
      <c r="G669" s="39"/>
      <c r="H669" s="39"/>
      <c r="I669" s="252"/>
      <c r="J669" s="188"/>
      <c r="K669" s="252"/>
      <c r="L669" s="188"/>
      <c r="M669" s="52"/>
    </row>
    <row r="670" spans="1:13" ht="15.75">
      <c r="A670" s="50"/>
      <c r="B670" s="4"/>
      <c r="C670" s="188"/>
      <c r="D670" s="188"/>
      <c r="E670" s="52"/>
      <c r="F670" s="188"/>
      <c r="G670" s="39"/>
      <c r="H670" s="39"/>
      <c r="I670" s="252"/>
      <c r="J670" s="188"/>
      <c r="K670" s="252"/>
      <c r="L670" s="188"/>
      <c r="M670" s="52"/>
    </row>
    <row r="671" spans="1:13" ht="15.75">
      <c r="A671" s="50"/>
      <c r="B671" s="4"/>
      <c r="C671" s="188"/>
      <c r="D671" s="188"/>
      <c r="E671" s="52"/>
      <c r="F671" s="188"/>
      <c r="G671" s="39"/>
      <c r="H671" s="39"/>
      <c r="I671" s="252"/>
      <c r="J671" s="188"/>
      <c r="K671" s="252"/>
      <c r="L671" s="188"/>
      <c r="M671" s="52"/>
    </row>
    <row r="672" spans="1:13" ht="15.75">
      <c r="A672" s="50"/>
      <c r="B672" s="4"/>
      <c r="C672" s="188"/>
      <c r="D672" s="188"/>
      <c r="E672" s="52"/>
      <c r="F672" s="188"/>
      <c r="G672" s="39"/>
      <c r="H672" s="39"/>
      <c r="I672" s="252"/>
      <c r="J672" s="188"/>
      <c r="K672" s="252"/>
      <c r="L672" s="188"/>
      <c r="M672" s="52"/>
    </row>
    <row r="673" spans="1:13" ht="15.75">
      <c r="A673" s="50"/>
      <c r="B673" s="4"/>
      <c r="C673" s="188"/>
      <c r="D673" s="188"/>
      <c r="E673" s="52"/>
      <c r="F673" s="188"/>
      <c r="G673" s="39"/>
      <c r="H673" s="39"/>
      <c r="I673" s="252"/>
      <c r="J673" s="188"/>
      <c r="K673" s="252"/>
      <c r="L673" s="188"/>
      <c r="M673" s="52"/>
    </row>
    <row r="674" spans="1:13" ht="15.75">
      <c r="A674" s="50"/>
      <c r="B674" s="4"/>
      <c r="C674" s="188"/>
      <c r="D674" s="188"/>
      <c r="E674" s="52"/>
      <c r="F674" s="188"/>
      <c r="G674" s="39"/>
      <c r="H674" s="39"/>
      <c r="I674" s="252"/>
      <c r="J674" s="188"/>
      <c r="K674" s="252"/>
      <c r="L674" s="188"/>
      <c r="M674" s="52"/>
    </row>
    <row r="675" spans="1:13" ht="15.75">
      <c r="A675" s="50"/>
      <c r="B675" s="4"/>
      <c r="C675" s="188"/>
      <c r="D675" s="188"/>
      <c r="E675" s="52"/>
      <c r="F675" s="188"/>
      <c r="G675" s="39"/>
      <c r="H675" s="39"/>
      <c r="I675" s="252"/>
      <c r="J675" s="188"/>
      <c r="K675" s="252"/>
      <c r="L675" s="188"/>
      <c r="M675" s="52"/>
    </row>
    <row r="676" spans="1:13" ht="15.75">
      <c r="A676" s="50"/>
      <c r="B676" s="4"/>
      <c r="C676" s="188"/>
      <c r="D676" s="188"/>
      <c r="E676" s="52"/>
      <c r="F676" s="188"/>
      <c r="G676" s="39"/>
      <c r="H676" s="39"/>
      <c r="I676" s="252"/>
      <c r="J676" s="188"/>
      <c r="K676" s="252"/>
      <c r="L676" s="188"/>
      <c r="M676" s="52"/>
    </row>
    <row r="677" spans="1:13" ht="15.75">
      <c r="A677" s="50"/>
      <c r="B677" s="4"/>
      <c r="C677" s="188"/>
      <c r="D677" s="188"/>
      <c r="E677" s="52"/>
      <c r="F677" s="188"/>
      <c r="G677" s="39"/>
      <c r="H677" s="39"/>
      <c r="I677" s="252"/>
      <c r="J677" s="188"/>
      <c r="K677" s="252"/>
      <c r="L677" s="188"/>
      <c r="M677" s="52"/>
    </row>
    <row r="678" spans="1:13" ht="15.75">
      <c r="A678" s="50"/>
      <c r="B678" s="4"/>
      <c r="C678" s="188"/>
      <c r="D678" s="188"/>
      <c r="E678" s="52"/>
      <c r="F678" s="188"/>
      <c r="G678" s="39"/>
      <c r="H678" s="39"/>
      <c r="I678" s="252"/>
      <c r="J678" s="188"/>
      <c r="K678" s="252"/>
      <c r="L678" s="188"/>
      <c r="M678" s="52"/>
    </row>
    <row r="679" spans="1:13" ht="15.75">
      <c r="A679" s="50"/>
      <c r="B679" s="4"/>
      <c r="C679" s="188"/>
      <c r="D679" s="188"/>
      <c r="E679" s="52"/>
      <c r="F679" s="188"/>
      <c r="G679" s="39"/>
      <c r="H679" s="39"/>
      <c r="I679" s="252"/>
      <c r="J679" s="188"/>
      <c r="K679" s="252"/>
      <c r="L679" s="188"/>
      <c r="M679" s="52"/>
    </row>
    <row r="680" spans="1:13" ht="15.75">
      <c r="A680" s="50"/>
      <c r="B680" s="4"/>
      <c r="C680" s="188"/>
      <c r="D680" s="188"/>
      <c r="E680" s="52"/>
      <c r="F680" s="188"/>
      <c r="G680" s="39"/>
      <c r="H680" s="39"/>
      <c r="I680" s="252"/>
      <c r="J680" s="188"/>
      <c r="K680" s="252"/>
      <c r="L680" s="188"/>
      <c r="M680" s="52"/>
    </row>
    <row r="681" spans="1:13" ht="15.75">
      <c r="A681" s="50"/>
      <c r="B681" s="4"/>
      <c r="C681" s="188"/>
      <c r="D681" s="188"/>
      <c r="E681" s="52"/>
      <c r="F681" s="188"/>
      <c r="G681" s="39"/>
      <c r="H681" s="39"/>
      <c r="I681" s="252"/>
      <c r="J681" s="188"/>
      <c r="K681" s="252"/>
      <c r="L681" s="188"/>
      <c r="M681" s="52"/>
    </row>
    <row r="682" spans="1:13" ht="15.75">
      <c r="A682" s="50"/>
      <c r="B682" s="4"/>
      <c r="C682" s="188"/>
      <c r="D682" s="188"/>
      <c r="E682" s="52"/>
      <c r="F682" s="188"/>
      <c r="G682" s="39"/>
      <c r="H682" s="39"/>
      <c r="I682" s="252"/>
      <c r="J682" s="188"/>
      <c r="K682" s="252"/>
      <c r="L682" s="188"/>
      <c r="M682" s="52"/>
    </row>
    <row r="683" spans="1:13" ht="15.75">
      <c r="A683" s="50"/>
      <c r="B683" s="4"/>
      <c r="C683" s="188"/>
      <c r="D683" s="188"/>
      <c r="E683" s="52"/>
      <c r="F683" s="188"/>
      <c r="G683" s="39"/>
      <c r="H683" s="39"/>
      <c r="I683" s="252"/>
      <c r="J683" s="188"/>
      <c r="K683" s="252"/>
      <c r="L683" s="188"/>
      <c r="M683" s="52"/>
    </row>
    <row r="684" spans="1:13" ht="15.75">
      <c r="A684" s="50"/>
      <c r="B684" s="4"/>
      <c r="C684" s="188"/>
      <c r="D684" s="188"/>
      <c r="E684" s="52"/>
      <c r="F684" s="188"/>
      <c r="G684" s="39"/>
      <c r="H684" s="39"/>
      <c r="I684" s="252"/>
      <c r="J684" s="188"/>
      <c r="K684" s="252"/>
      <c r="L684" s="188"/>
      <c r="M684" s="52"/>
    </row>
    <row r="685" spans="1:13" ht="15.75">
      <c r="A685" s="50"/>
      <c r="B685" s="4"/>
      <c r="C685" s="188"/>
      <c r="D685" s="188"/>
      <c r="E685" s="52"/>
      <c r="F685" s="188"/>
      <c r="G685" s="39"/>
      <c r="H685" s="39"/>
      <c r="I685" s="252"/>
      <c r="J685" s="188"/>
      <c r="K685" s="252"/>
      <c r="L685" s="188"/>
      <c r="M685" s="52"/>
    </row>
    <row r="686" spans="1:13" ht="15.75">
      <c r="A686" s="50"/>
      <c r="B686" s="4"/>
      <c r="C686" s="188"/>
      <c r="D686" s="188"/>
      <c r="E686" s="52"/>
      <c r="F686" s="188"/>
      <c r="G686" s="39"/>
      <c r="H686" s="39"/>
      <c r="I686" s="252"/>
      <c r="J686" s="188"/>
      <c r="K686" s="252"/>
      <c r="L686" s="188"/>
      <c r="M686" s="52"/>
    </row>
    <row r="687" spans="1:13" ht="15.75">
      <c r="A687" s="50"/>
      <c r="B687" s="4"/>
      <c r="C687" s="188"/>
      <c r="D687" s="188"/>
      <c r="E687" s="52"/>
      <c r="F687" s="188"/>
      <c r="G687" s="39"/>
      <c r="H687" s="39"/>
      <c r="I687" s="252"/>
      <c r="J687" s="188"/>
      <c r="K687" s="252"/>
      <c r="L687" s="188"/>
      <c r="M687" s="52"/>
    </row>
    <row r="688" spans="1:13" ht="15.75">
      <c r="A688" s="50"/>
      <c r="B688" s="4"/>
      <c r="C688" s="188"/>
      <c r="D688" s="188"/>
      <c r="E688" s="52"/>
      <c r="F688" s="188"/>
      <c r="G688" s="39"/>
      <c r="H688" s="39"/>
      <c r="I688" s="252"/>
      <c r="J688" s="188"/>
      <c r="K688" s="252"/>
      <c r="L688" s="188"/>
      <c r="M688" s="52"/>
    </row>
    <row r="689" spans="1:13" ht="15.75">
      <c r="A689" s="50"/>
      <c r="B689" s="4"/>
      <c r="C689" s="188"/>
      <c r="D689" s="188"/>
      <c r="E689" s="52"/>
      <c r="F689" s="188"/>
      <c r="G689" s="39"/>
      <c r="H689" s="39"/>
      <c r="I689" s="252"/>
      <c r="J689" s="188"/>
      <c r="K689" s="252"/>
      <c r="L689" s="188"/>
      <c r="M689" s="52"/>
    </row>
    <row r="690" spans="1:13" ht="15.75">
      <c r="A690" s="50"/>
      <c r="B690" s="4"/>
      <c r="C690" s="188"/>
      <c r="D690" s="188"/>
      <c r="E690" s="52"/>
      <c r="F690" s="188"/>
      <c r="G690" s="39"/>
      <c r="H690" s="39"/>
      <c r="I690" s="252"/>
      <c r="J690" s="188"/>
      <c r="K690" s="252"/>
      <c r="L690" s="188"/>
      <c r="M690" s="52"/>
    </row>
    <row r="691" spans="1:13" ht="15.75">
      <c r="A691" s="50"/>
      <c r="B691" s="4"/>
      <c r="C691" s="188"/>
      <c r="D691" s="188"/>
      <c r="E691" s="52"/>
      <c r="F691" s="188"/>
      <c r="G691" s="39"/>
      <c r="H691" s="39"/>
      <c r="I691" s="252"/>
      <c r="J691" s="188"/>
      <c r="K691" s="252"/>
      <c r="L691" s="188"/>
      <c r="M691" s="52"/>
    </row>
    <row r="692" spans="1:13" ht="15.75">
      <c r="A692" s="50"/>
      <c r="B692" s="4"/>
      <c r="C692" s="188"/>
      <c r="D692" s="188"/>
      <c r="E692" s="52"/>
      <c r="F692" s="188"/>
      <c r="G692" s="39"/>
      <c r="H692" s="39"/>
      <c r="I692" s="252"/>
      <c r="J692" s="188"/>
      <c r="K692" s="252"/>
      <c r="L692" s="188"/>
      <c r="M692" s="52"/>
    </row>
    <row r="693" spans="1:13" ht="15.75">
      <c r="A693" s="50"/>
      <c r="B693" s="4"/>
      <c r="C693" s="188"/>
      <c r="D693" s="188"/>
      <c r="E693" s="52"/>
      <c r="F693" s="188"/>
      <c r="G693" s="39"/>
      <c r="H693" s="39"/>
      <c r="I693" s="252"/>
      <c r="J693" s="188"/>
      <c r="K693" s="252"/>
      <c r="L693" s="188"/>
      <c r="M693" s="52"/>
    </row>
    <row r="694" spans="1:13" ht="15.75">
      <c r="A694" s="50"/>
      <c r="B694" s="4"/>
      <c r="C694" s="188"/>
      <c r="D694" s="188"/>
      <c r="E694" s="52"/>
      <c r="F694" s="188"/>
      <c r="G694" s="39"/>
      <c r="H694" s="39"/>
      <c r="I694" s="252"/>
      <c r="J694" s="188"/>
      <c r="K694" s="252"/>
      <c r="L694" s="188"/>
      <c r="M694" s="52"/>
    </row>
    <row r="695" spans="1:13" ht="15.75">
      <c r="A695" s="50"/>
      <c r="B695" s="4"/>
      <c r="C695" s="188"/>
      <c r="D695" s="188"/>
      <c r="E695" s="52"/>
      <c r="F695" s="188"/>
      <c r="G695" s="39"/>
      <c r="H695" s="39"/>
      <c r="I695" s="252"/>
      <c r="J695" s="188"/>
      <c r="K695" s="252"/>
      <c r="L695" s="188"/>
      <c r="M695" s="52"/>
    </row>
    <row r="696" spans="1:13" ht="15.75">
      <c r="A696" s="50"/>
      <c r="B696" s="4"/>
      <c r="C696" s="188"/>
      <c r="D696" s="188"/>
      <c r="E696" s="52"/>
      <c r="F696" s="188"/>
      <c r="G696" s="39"/>
      <c r="H696" s="39"/>
      <c r="I696" s="252"/>
      <c r="J696" s="188"/>
      <c r="K696" s="252"/>
      <c r="L696" s="188"/>
      <c r="M696" s="52"/>
    </row>
    <row r="697" spans="1:13" ht="15.75">
      <c r="A697" s="50"/>
      <c r="B697" s="4"/>
      <c r="C697" s="188"/>
      <c r="D697" s="188"/>
      <c r="E697" s="52"/>
      <c r="F697" s="188"/>
      <c r="G697" s="39"/>
      <c r="H697" s="39"/>
      <c r="I697" s="252"/>
      <c r="J697" s="188"/>
      <c r="K697" s="252"/>
      <c r="L697" s="188"/>
      <c r="M697" s="52"/>
    </row>
    <row r="698" spans="1:13" ht="15.75">
      <c r="A698" s="50"/>
      <c r="B698" s="4"/>
      <c r="C698" s="188"/>
      <c r="D698" s="188"/>
      <c r="E698" s="52"/>
      <c r="F698" s="188"/>
      <c r="G698" s="39"/>
      <c r="H698" s="39"/>
      <c r="I698" s="252"/>
      <c r="J698" s="188"/>
      <c r="K698" s="252"/>
      <c r="L698" s="188"/>
      <c r="M698" s="52"/>
    </row>
    <row r="699" spans="1:13" ht="15.75">
      <c r="A699" s="50"/>
      <c r="B699" s="4"/>
      <c r="C699" s="188"/>
      <c r="D699" s="188"/>
      <c r="E699" s="52"/>
      <c r="F699" s="188"/>
      <c r="G699" s="39"/>
      <c r="H699" s="39"/>
      <c r="I699" s="252"/>
      <c r="J699" s="188"/>
      <c r="K699" s="252"/>
      <c r="L699" s="188"/>
      <c r="M699" s="52"/>
    </row>
    <row r="700" spans="1:13" ht="15.75">
      <c r="A700" s="50"/>
      <c r="B700" s="4"/>
      <c r="C700" s="188"/>
      <c r="D700" s="188"/>
      <c r="E700" s="52"/>
      <c r="F700" s="188"/>
      <c r="G700" s="39"/>
      <c r="H700" s="39"/>
      <c r="I700" s="252"/>
      <c r="J700" s="188"/>
      <c r="K700" s="252"/>
      <c r="L700" s="188"/>
      <c r="M700" s="52"/>
    </row>
    <row r="701" spans="1:13" ht="15.75">
      <c r="A701" s="50"/>
      <c r="B701" s="4"/>
      <c r="C701" s="188"/>
      <c r="D701" s="188"/>
      <c r="E701" s="52"/>
      <c r="F701" s="188"/>
      <c r="G701" s="39"/>
      <c r="H701" s="39"/>
      <c r="I701" s="252"/>
      <c r="J701" s="188"/>
      <c r="K701" s="252"/>
      <c r="L701" s="188"/>
      <c r="M701" s="52"/>
    </row>
    <row r="702" spans="1:13" ht="15.75">
      <c r="A702" s="50"/>
      <c r="B702" s="4"/>
      <c r="C702" s="188"/>
      <c r="D702" s="188"/>
      <c r="E702" s="52"/>
      <c r="F702" s="188"/>
      <c r="G702" s="39"/>
      <c r="H702" s="39"/>
      <c r="I702" s="252"/>
      <c r="J702" s="188"/>
      <c r="K702" s="252"/>
      <c r="L702" s="188"/>
      <c r="M702" s="52"/>
    </row>
    <row r="703" spans="1:13" ht="15.75">
      <c r="A703" s="50"/>
      <c r="B703" s="4"/>
      <c r="C703" s="188"/>
      <c r="D703" s="188"/>
      <c r="E703" s="52"/>
      <c r="F703" s="188"/>
      <c r="G703" s="39"/>
      <c r="H703" s="39"/>
      <c r="I703" s="252"/>
      <c r="J703" s="188"/>
      <c r="K703" s="252"/>
      <c r="L703" s="188"/>
      <c r="M703" s="52"/>
    </row>
    <row r="704" spans="1:13" ht="15.75">
      <c r="A704" s="50"/>
      <c r="B704" s="4"/>
      <c r="C704" s="188"/>
      <c r="D704" s="188"/>
      <c r="E704" s="52"/>
      <c r="F704" s="188"/>
      <c r="G704" s="39"/>
      <c r="H704" s="39"/>
      <c r="I704" s="252"/>
      <c r="J704" s="188"/>
      <c r="K704" s="252"/>
      <c r="L704" s="188"/>
      <c r="M704" s="52"/>
    </row>
    <row r="705" spans="1:13" ht="15.75">
      <c r="A705" s="50"/>
      <c r="B705" s="4"/>
      <c r="C705" s="188"/>
      <c r="D705" s="188"/>
      <c r="E705" s="52"/>
      <c r="F705" s="188"/>
      <c r="G705" s="39"/>
      <c r="H705" s="39"/>
      <c r="I705" s="252"/>
      <c r="J705" s="188"/>
      <c r="K705" s="252"/>
      <c r="L705" s="188"/>
      <c r="M705" s="52"/>
    </row>
    <row r="706" spans="1:13" ht="15.75">
      <c r="A706" s="50"/>
      <c r="B706" s="4"/>
      <c r="C706" s="188"/>
      <c r="D706" s="188"/>
      <c r="E706" s="52"/>
      <c r="F706" s="188"/>
      <c r="G706" s="39"/>
      <c r="H706" s="39"/>
      <c r="I706" s="252"/>
      <c r="J706" s="188"/>
      <c r="K706" s="252"/>
      <c r="L706" s="188"/>
      <c r="M706" s="52"/>
    </row>
    <row r="707" spans="1:13" ht="15.75">
      <c r="A707" s="50"/>
      <c r="B707" s="4"/>
      <c r="C707" s="188"/>
      <c r="D707" s="188"/>
      <c r="E707" s="52"/>
      <c r="F707" s="188"/>
      <c r="G707" s="39"/>
      <c r="H707" s="39"/>
      <c r="I707" s="252"/>
      <c r="J707" s="188"/>
      <c r="K707" s="252"/>
      <c r="L707" s="188"/>
      <c r="M707" s="52"/>
    </row>
    <row r="708" spans="1:13" ht="15.75">
      <c r="A708" s="50"/>
      <c r="B708" s="4"/>
      <c r="C708" s="188"/>
      <c r="D708" s="188"/>
      <c r="E708" s="52"/>
      <c r="F708" s="188"/>
      <c r="G708" s="39"/>
      <c r="H708" s="39"/>
      <c r="I708" s="252"/>
      <c r="J708" s="188"/>
      <c r="K708" s="252"/>
      <c r="L708" s="188"/>
      <c r="M708" s="52"/>
    </row>
    <row r="709" spans="1:13" ht="15.75">
      <c r="A709" s="50"/>
      <c r="B709" s="4"/>
      <c r="C709" s="188"/>
      <c r="D709" s="188"/>
      <c r="E709" s="52"/>
      <c r="F709" s="188"/>
      <c r="G709" s="39"/>
      <c r="H709" s="39"/>
      <c r="I709" s="252"/>
      <c r="J709" s="188"/>
      <c r="K709" s="252"/>
      <c r="L709" s="188"/>
      <c r="M709" s="52"/>
    </row>
    <row r="710" spans="1:13" ht="15.75">
      <c r="A710" s="50"/>
      <c r="B710" s="4"/>
      <c r="C710" s="188"/>
      <c r="D710" s="188"/>
      <c r="E710" s="52"/>
      <c r="F710" s="188"/>
      <c r="G710" s="39"/>
      <c r="H710" s="39"/>
      <c r="I710" s="252"/>
      <c r="J710" s="188"/>
      <c r="K710" s="252"/>
      <c r="L710" s="188"/>
      <c r="M710" s="52"/>
    </row>
    <row r="711" spans="1:13" ht="15.75">
      <c r="A711" s="50"/>
      <c r="B711" s="4"/>
      <c r="C711" s="188"/>
      <c r="D711" s="188"/>
      <c r="E711" s="52"/>
      <c r="F711" s="188"/>
      <c r="G711" s="39"/>
      <c r="H711" s="39"/>
      <c r="I711" s="252"/>
      <c r="J711" s="188"/>
      <c r="K711" s="252"/>
      <c r="L711" s="188"/>
      <c r="M711" s="52"/>
    </row>
    <row r="712" spans="1:13" ht="15.75">
      <c r="A712" s="50"/>
      <c r="B712" s="4"/>
      <c r="C712" s="188"/>
      <c r="D712" s="188"/>
      <c r="E712" s="52"/>
      <c r="F712" s="188"/>
      <c r="G712" s="39"/>
      <c r="H712" s="39"/>
      <c r="I712" s="252"/>
      <c r="J712" s="188"/>
      <c r="K712" s="252"/>
      <c r="L712" s="188"/>
      <c r="M712" s="52"/>
    </row>
    <row r="713" spans="1:13" ht="15.75">
      <c r="A713" s="50"/>
      <c r="B713" s="4"/>
      <c r="C713" s="188"/>
      <c r="D713" s="188"/>
      <c r="E713" s="52"/>
      <c r="F713" s="188"/>
      <c r="G713" s="39"/>
      <c r="H713" s="39"/>
      <c r="I713" s="252"/>
      <c r="J713" s="188"/>
      <c r="K713" s="252"/>
      <c r="L713" s="188"/>
      <c r="M713" s="52"/>
    </row>
    <row r="714" spans="1:13" ht="15.75">
      <c r="A714" s="50"/>
      <c r="B714" s="4"/>
      <c r="C714" s="188"/>
      <c r="D714" s="188"/>
      <c r="E714" s="52"/>
      <c r="F714" s="188"/>
      <c r="G714" s="39"/>
      <c r="H714" s="39"/>
      <c r="I714" s="252"/>
      <c r="J714" s="188"/>
      <c r="K714" s="252"/>
      <c r="L714" s="188"/>
      <c r="M714" s="52"/>
    </row>
    <row r="715" spans="1:13" ht="15.75">
      <c r="A715" s="50"/>
      <c r="B715" s="4"/>
      <c r="C715" s="188"/>
      <c r="D715" s="188"/>
      <c r="E715" s="52"/>
      <c r="F715" s="188"/>
      <c r="G715" s="39"/>
      <c r="H715" s="39"/>
      <c r="I715" s="252"/>
      <c r="J715" s="188"/>
      <c r="K715" s="252"/>
      <c r="L715" s="188"/>
      <c r="M715" s="52"/>
    </row>
    <row r="716" spans="1:13" ht="15.75">
      <c r="A716" s="50"/>
      <c r="B716" s="4"/>
      <c r="C716" s="188"/>
      <c r="D716" s="188"/>
      <c r="E716" s="52"/>
      <c r="F716" s="188"/>
      <c r="G716" s="39"/>
      <c r="H716" s="39"/>
      <c r="I716" s="252"/>
      <c r="J716" s="188"/>
      <c r="K716" s="252"/>
      <c r="L716" s="188"/>
      <c r="M716" s="52"/>
    </row>
    <row r="717" spans="1:13" ht="15.75">
      <c r="A717" s="50"/>
      <c r="B717" s="4"/>
      <c r="C717" s="188"/>
      <c r="D717" s="188"/>
      <c r="E717" s="52"/>
      <c r="F717" s="188"/>
      <c r="G717" s="39"/>
      <c r="H717" s="39"/>
      <c r="I717" s="252"/>
      <c r="J717" s="188"/>
      <c r="K717" s="252"/>
      <c r="L717" s="188"/>
      <c r="M717" s="52"/>
    </row>
    <row r="718" spans="1:13" ht="15.75">
      <c r="A718" s="50"/>
      <c r="B718" s="4"/>
      <c r="C718" s="188"/>
      <c r="D718" s="188"/>
      <c r="E718" s="52"/>
      <c r="F718" s="188"/>
      <c r="G718" s="39"/>
      <c r="H718" s="39"/>
      <c r="I718" s="252"/>
      <c r="J718" s="188"/>
      <c r="K718" s="252"/>
      <c r="L718" s="188"/>
      <c r="M718" s="52"/>
    </row>
    <row r="719" spans="1:13" ht="15.75">
      <c r="A719" s="50"/>
      <c r="B719" s="4"/>
      <c r="C719" s="188"/>
      <c r="D719" s="188"/>
      <c r="E719" s="52"/>
      <c r="F719" s="188"/>
      <c r="G719" s="39"/>
      <c r="H719" s="39"/>
      <c r="I719" s="252"/>
      <c r="J719" s="188"/>
      <c r="K719" s="252"/>
      <c r="L719" s="188"/>
      <c r="M719" s="52"/>
    </row>
    <row r="720" spans="1:13" ht="15.75">
      <c r="A720" s="50"/>
      <c r="B720" s="4"/>
      <c r="C720" s="188"/>
      <c r="D720" s="188"/>
      <c r="E720" s="52"/>
      <c r="F720" s="188"/>
      <c r="G720" s="39"/>
      <c r="H720" s="39"/>
      <c r="I720" s="252"/>
      <c r="J720" s="188"/>
      <c r="K720" s="252"/>
      <c r="L720" s="188"/>
      <c r="M720" s="52"/>
    </row>
    <row r="721" spans="1:13" ht="15.75">
      <c r="A721" s="50"/>
      <c r="B721" s="4"/>
      <c r="C721" s="188"/>
      <c r="D721" s="188"/>
      <c r="E721" s="52"/>
      <c r="F721" s="188"/>
      <c r="G721" s="39"/>
      <c r="H721" s="39"/>
      <c r="I721" s="252"/>
      <c r="J721" s="188"/>
      <c r="K721" s="252"/>
      <c r="L721" s="188"/>
      <c r="M721" s="52"/>
    </row>
    <row r="722" spans="1:13" ht="15.75">
      <c r="A722" s="50"/>
      <c r="B722" s="4"/>
      <c r="C722" s="188"/>
      <c r="D722" s="188"/>
      <c r="E722" s="52"/>
      <c r="F722" s="188"/>
      <c r="G722" s="39"/>
      <c r="H722" s="39"/>
      <c r="I722" s="252"/>
      <c r="J722" s="188"/>
      <c r="K722" s="252"/>
      <c r="L722" s="188"/>
      <c r="M722" s="52"/>
    </row>
    <row r="723" spans="1:13" ht="15.75">
      <c r="A723" s="50"/>
      <c r="B723" s="4"/>
      <c r="C723" s="188"/>
      <c r="D723" s="188"/>
      <c r="E723" s="52"/>
      <c r="F723" s="188"/>
      <c r="G723" s="39"/>
      <c r="H723" s="39"/>
      <c r="I723" s="252"/>
      <c r="J723" s="188"/>
      <c r="K723" s="252"/>
      <c r="L723" s="188"/>
      <c r="M723" s="52"/>
    </row>
    <row r="724" spans="1:13" ht="15.75">
      <c r="A724" s="50"/>
      <c r="B724" s="4"/>
      <c r="C724" s="188"/>
      <c r="D724" s="188"/>
      <c r="E724" s="52"/>
      <c r="F724" s="188"/>
      <c r="G724" s="39"/>
      <c r="H724" s="39"/>
      <c r="I724" s="252"/>
      <c r="J724" s="188"/>
      <c r="K724" s="252"/>
      <c r="L724" s="188"/>
      <c r="M724" s="52"/>
    </row>
    <row r="725" spans="1:13" ht="15.75">
      <c r="A725" s="50"/>
      <c r="B725" s="4"/>
      <c r="C725" s="188"/>
      <c r="D725" s="188"/>
      <c r="E725" s="52"/>
      <c r="F725" s="188"/>
      <c r="G725" s="39"/>
      <c r="H725" s="39"/>
      <c r="I725" s="252"/>
      <c r="J725" s="188"/>
      <c r="K725" s="252"/>
      <c r="L725" s="188"/>
      <c r="M725" s="52"/>
    </row>
    <row r="726" spans="1:13" ht="15.75">
      <c r="A726" s="50"/>
      <c r="B726" s="4"/>
      <c r="C726" s="188"/>
      <c r="D726" s="188"/>
      <c r="E726" s="52"/>
      <c r="F726" s="188"/>
      <c r="G726" s="39"/>
      <c r="H726" s="39"/>
      <c r="I726" s="252"/>
      <c r="J726" s="188"/>
      <c r="K726" s="252"/>
      <c r="L726" s="188"/>
      <c r="M726" s="52"/>
    </row>
    <row r="727" spans="1:13" ht="15.75">
      <c r="A727" s="50"/>
      <c r="B727" s="4"/>
      <c r="C727" s="188"/>
      <c r="D727" s="188"/>
      <c r="E727" s="52"/>
      <c r="F727" s="188"/>
      <c r="G727" s="39"/>
      <c r="H727" s="39"/>
      <c r="I727" s="252"/>
      <c r="J727" s="188"/>
      <c r="K727" s="252"/>
      <c r="L727" s="188"/>
      <c r="M727" s="52"/>
    </row>
    <row r="728" spans="1:13" ht="15.75">
      <c r="A728" s="50"/>
      <c r="B728" s="4"/>
      <c r="C728" s="188"/>
      <c r="D728" s="188"/>
      <c r="E728" s="52"/>
      <c r="F728" s="188"/>
      <c r="G728" s="39"/>
      <c r="H728" s="39"/>
      <c r="I728" s="252"/>
      <c r="J728" s="188"/>
      <c r="K728" s="252"/>
      <c r="L728" s="188"/>
      <c r="M728" s="52"/>
    </row>
    <row r="729" spans="1:13" ht="15.75">
      <c r="A729" s="50"/>
      <c r="B729" s="4"/>
      <c r="C729" s="188"/>
      <c r="D729" s="188"/>
      <c r="E729" s="52"/>
      <c r="F729" s="188"/>
      <c r="G729" s="39"/>
      <c r="H729" s="39"/>
      <c r="I729" s="252"/>
      <c r="J729" s="188"/>
      <c r="K729" s="252"/>
      <c r="L729" s="188"/>
      <c r="M729" s="52"/>
    </row>
    <row r="730" spans="1:13" ht="15.75">
      <c r="A730" s="50"/>
      <c r="B730" s="4"/>
      <c r="C730" s="188"/>
      <c r="D730" s="188"/>
      <c r="E730" s="52"/>
      <c r="F730" s="188"/>
      <c r="G730" s="39"/>
      <c r="H730" s="39"/>
      <c r="I730" s="252"/>
      <c r="J730" s="188"/>
      <c r="K730" s="252"/>
      <c r="L730" s="188"/>
      <c r="M730" s="52"/>
    </row>
    <row r="731" spans="1:13" ht="15.75">
      <c r="A731" s="50"/>
      <c r="B731" s="4"/>
      <c r="C731" s="188"/>
      <c r="D731" s="188"/>
      <c r="E731" s="52"/>
      <c r="F731" s="188"/>
      <c r="G731" s="39"/>
      <c r="H731" s="39"/>
      <c r="I731" s="252"/>
      <c r="J731" s="188"/>
      <c r="K731" s="252"/>
      <c r="L731" s="188"/>
      <c r="M731" s="52"/>
    </row>
    <row r="732" spans="1:13" ht="15.75">
      <c r="A732" s="50"/>
      <c r="B732" s="4"/>
      <c r="C732" s="188"/>
      <c r="D732" s="188"/>
      <c r="E732" s="52"/>
      <c r="F732" s="188"/>
      <c r="G732" s="39"/>
      <c r="H732" s="39"/>
      <c r="I732" s="252"/>
      <c r="J732" s="188"/>
      <c r="K732" s="252"/>
      <c r="L732" s="188"/>
      <c r="M732" s="52"/>
    </row>
    <row r="733" spans="1:13" ht="15.75">
      <c r="A733" s="50"/>
      <c r="B733" s="4"/>
      <c r="C733" s="188"/>
      <c r="D733" s="188"/>
      <c r="E733" s="52"/>
      <c r="F733" s="188"/>
      <c r="G733" s="39"/>
      <c r="H733" s="39"/>
      <c r="I733" s="252"/>
      <c r="J733" s="188"/>
      <c r="K733" s="252"/>
      <c r="L733" s="188"/>
      <c r="M733" s="52"/>
    </row>
    <row r="734" spans="1:13" ht="15.75">
      <c r="A734" s="50"/>
      <c r="B734" s="4"/>
      <c r="C734" s="188"/>
      <c r="D734" s="188"/>
      <c r="E734" s="52"/>
      <c r="F734" s="188"/>
      <c r="G734" s="39"/>
      <c r="H734" s="39"/>
      <c r="I734" s="252"/>
      <c r="J734" s="188"/>
      <c r="K734" s="252"/>
      <c r="L734" s="188"/>
      <c r="M734" s="52"/>
    </row>
    <row r="735" spans="1:13" ht="15.75">
      <c r="A735" s="50"/>
      <c r="B735" s="4"/>
      <c r="C735" s="188"/>
      <c r="D735" s="188"/>
      <c r="E735" s="52"/>
      <c r="F735" s="188"/>
      <c r="G735" s="39"/>
      <c r="H735" s="39"/>
      <c r="I735" s="252"/>
      <c r="J735" s="188"/>
      <c r="K735" s="252"/>
      <c r="L735" s="188"/>
      <c r="M735" s="52"/>
    </row>
    <row r="736" spans="1:13" ht="15.75">
      <c r="A736" s="50"/>
      <c r="B736" s="4"/>
      <c r="C736" s="188"/>
      <c r="D736" s="188"/>
      <c r="E736" s="52"/>
      <c r="F736" s="188"/>
      <c r="G736" s="39"/>
      <c r="H736" s="39"/>
      <c r="I736" s="252"/>
      <c r="J736" s="188"/>
      <c r="K736" s="252"/>
      <c r="L736" s="188"/>
      <c r="M736" s="52"/>
    </row>
    <row r="737" spans="1:13" ht="15.75">
      <c r="A737" s="50"/>
      <c r="B737" s="4"/>
      <c r="C737" s="188"/>
      <c r="D737" s="188"/>
      <c r="E737" s="52"/>
      <c r="F737" s="188"/>
      <c r="G737" s="39"/>
      <c r="H737" s="39"/>
      <c r="I737" s="252"/>
      <c r="J737" s="188"/>
      <c r="K737" s="252"/>
      <c r="L737" s="188"/>
      <c r="M737" s="52"/>
    </row>
    <row r="738" spans="1:13" ht="15.75">
      <c r="A738" s="50"/>
      <c r="B738" s="4"/>
      <c r="C738" s="188"/>
      <c r="D738" s="188"/>
      <c r="E738" s="52"/>
      <c r="F738" s="188"/>
      <c r="G738" s="39"/>
      <c r="H738" s="39"/>
      <c r="I738" s="252"/>
      <c r="J738" s="188"/>
      <c r="K738" s="252"/>
      <c r="L738" s="188"/>
      <c r="M738" s="52"/>
    </row>
    <row r="739" spans="1:13" ht="15.75">
      <c r="A739" s="50"/>
      <c r="B739" s="4"/>
      <c r="C739" s="188"/>
      <c r="D739" s="188"/>
      <c r="E739" s="52"/>
      <c r="F739" s="188"/>
      <c r="G739" s="39"/>
      <c r="H739" s="39"/>
      <c r="I739" s="252"/>
      <c r="J739" s="188"/>
      <c r="K739" s="252"/>
      <c r="L739" s="188"/>
      <c r="M739" s="52"/>
    </row>
    <row r="740" spans="1:13" ht="15.75">
      <c r="A740" s="50"/>
      <c r="B740" s="4"/>
      <c r="C740" s="188"/>
      <c r="D740" s="188"/>
      <c r="E740" s="52"/>
      <c r="F740" s="188"/>
      <c r="G740" s="39"/>
      <c r="H740" s="39"/>
      <c r="I740" s="252"/>
      <c r="J740" s="188"/>
      <c r="K740" s="252"/>
      <c r="L740" s="188"/>
      <c r="M740" s="52"/>
    </row>
    <row r="741" spans="1:13" ht="15.75">
      <c r="A741" s="50"/>
      <c r="B741" s="4"/>
      <c r="C741" s="188"/>
      <c r="D741" s="188"/>
      <c r="E741" s="52"/>
      <c r="F741" s="188"/>
      <c r="G741" s="39"/>
      <c r="H741" s="39"/>
      <c r="I741" s="252"/>
      <c r="J741" s="188"/>
      <c r="K741" s="252"/>
      <c r="L741" s="188"/>
      <c r="M741" s="52"/>
    </row>
    <row r="742" spans="1:13" ht="15.75">
      <c r="A742" s="50"/>
      <c r="B742" s="4"/>
      <c r="C742" s="188"/>
      <c r="D742" s="188"/>
      <c r="E742" s="52"/>
      <c r="F742" s="188"/>
      <c r="G742" s="39"/>
      <c r="H742" s="39"/>
      <c r="I742" s="252"/>
      <c r="J742" s="188"/>
      <c r="K742" s="252"/>
      <c r="L742" s="188"/>
      <c r="M742" s="52"/>
    </row>
    <row r="743" spans="1:13" ht="15.75">
      <c r="A743" s="50"/>
      <c r="B743" s="4"/>
      <c r="C743" s="188"/>
      <c r="D743" s="188"/>
      <c r="E743" s="52"/>
      <c r="F743" s="188"/>
      <c r="G743" s="39"/>
      <c r="H743" s="39"/>
      <c r="I743" s="252"/>
      <c r="J743" s="188"/>
      <c r="K743" s="252"/>
      <c r="L743" s="188"/>
      <c r="M743" s="52"/>
    </row>
    <row r="744" spans="1:13" ht="15.75">
      <c r="A744" s="50"/>
      <c r="B744" s="4"/>
      <c r="C744" s="188"/>
      <c r="D744" s="188"/>
      <c r="E744" s="52"/>
      <c r="F744" s="188"/>
      <c r="G744" s="39"/>
      <c r="H744" s="39"/>
      <c r="I744" s="252"/>
      <c r="J744" s="188"/>
      <c r="K744" s="252"/>
      <c r="L744" s="188"/>
      <c r="M744" s="52"/>
    </row>
    <row r="745" spans="1:13" ht="15.75">
      <c r="A745" s="50"/>
      <c r="B745" s="4"/>
      <c r="C745" s="188"/>
      <c r="D745" s="188"/>
      <c r="E745" s="52"/>
      <c r="F745" s="188"/>
      <c r="G745" s="39"/>
      <c r="H745" s="39"/>
      <c r="I745" s="252"/>
      <c r="J745" s="188"/>
      <c r="K745" s="252"/>
      <c r="L745" s="188"/>
      <c r="M745" s="52"/>
    </row>
    <row r="746" spans="1:13" ht="15.75">
      <c r="A746" s="50"/>
      <c r="B746" s="4"/>
      <c r="C746" s="188"/>
      <c r="D746" s="188"/>
      <c r="E746" s="52"/>
      <c r="F746" s="188"/>
      <c r="G746" s="39"/>
      <c r="H746" s="39"/>
      <c r="I746" s="252"/>
      <c r="J746" s="188"/>
      <c r="K746" s="252"/>
      <c r="L746" s="188"/>
      <c r="M746" s="52"/>
    </row>
    <row r="747" spans="1:13" ht="15.75">
      <c r="A747" s="50"/>
      <c r="B747" s="4"/>
      <c r="C747" s="188"/>
      <c r="D747" s="188"/>
      <c r="E747" s="52"/>
      <c r="F747" s="188"/>
      <c r="G747" s="39"/>
      <c r="H747" s="39"/>
      <c r="I747" s="252"/>
      <c r="J747" s="188"/>
      <c r="K747" s="252"/>
      <c r="L747" s="188"/>
      <c r="M747" s="52"/>
    </row>
    <row r="748" spans="1:13" ht="15.75">
      <c r="A748" s="50"/>
      <c r="B748" s="4"/>
      <c r="C748" s="188"/>
      <c r="D748" s="188"/>
      <c r="E748" s="52"/>
      <c r="F748" s="188"/>
      <c r="G748" s="39"/>
      <c r="H748" s="39"/>
      <c r="I748" s="252"/>
      <c r="J748" s="188"/>
      <c r="K748" s="252"/>
      <c r="L748" s="188"/>
      <c r="M748" s="52"/>
    </row>
    <row r="749" spans="1:13" ht="15.75">
      <c r="A749" s="50"/>
      <c r="B749" s="4"/>
      <c r="C749" s="188"/>
      <c r="D749" s="188"/>
      <c r="E749" s="52"/>
      <c r="F749" s="188"/>
      <c r="G749" s="39"/>
      <c r="H749" s="39"/>
      <c r="I749" s="252"/>
      <c r="J749" s="188"/>
      <c r="K749" s="252"/>
      <c r="L749" s="188"/>
      <c r="M749" s="52"/>
    </row>
    <row r="750" spans="1:13" ht="15.75">
      <c r="A750" s="50"/>
      <c r="B750" s="4"/>
      <c r="C750" s="188"/>
      <c r="D750" s="188"/>
      <c r="E750" s="52"/>
      <c r="F750" s="188"/>
      <c r="G750" s="39"/>
      <c r="H750" s="39"/>
      <c r="I750" s="252"/>
      <c r="J750" s="188"/>
      <c r="K750" s="252"/>
      <c r="L750" s="188"/>
      <c r="M750" s="52"/>
    </row>
    <row r="751" spans="1:13" ht="15.75">
      <c r="A751" s="50"/>
      <c r="B751" s="4"/>
      <c r="C751" s="188"/>
      <c r="D751" s="188"/>
      <c r="E751" s="52"/>
      <c r="F751" s="188"/>
      <c r="G751" s="39"/>
      <c r="H751" s="39"/>
      <c r="I751" s="252"/>
      <c r="J751" s="188"/>
      <c r="K751" s="252"/>
      <c r="L751" s="188"/>
      <c r="M751" s="52"/>
    </row>
    <row r="752" spans="1:13" ht="15.75">
      <c r="A752" s="50"/>
      <c r="B752" s="4"/>
      <c r="C752" s="188"/>
      <c r="D752" s="188"/>
      <c r="E752" s="52"/>
      <c r="F752" s="188"/>
      <c r="G752" s="39"/>
      <c r="H752" s="39"/>
      <c r="I752" s="252"/>
      <c r="J752" s="188"/>
      <c r="K752" s="252"/>
      <c r="L752" s="188"/>
      <c r="M752" s="52"/>
    </row>
    <row r="753" spans="1:13" ht="15.75">
      <c r="A753" s="50"/>
      <c r="B753" s="4"/>
      <c r="C753" s="188"/>
      <c r="D753" s="188"/>
      <c r="E753" s="52"/>
      <c r="F753" s="188"/>
      <c r="G753" s="39"/>
      <c r="H753" s="39"/>
      <c r="I753" s="252"/>
      <c r="J753" s="188"/>
      <c r="K753" s="252"/>
      <c r="L753" s="188"/>
      <c r="M753" s="52"/>
    </row>
    <row r="754" spans="1:13" ht="15.75">
      <c r="A754" s="50"/>
      <c r="B754" s="4"/>
      <c r="C754" s="188"/>
      <c r="D754" s="188"/>
      <c r="E754" s="52"/>
      <c r="F754" s="188"/>
      <c r="G754" s="39"/>
      <c r="H754" s="39"/>
      <c r="I754" s="252"/>
      <c r="J754" s="188"/>
      <c r="K754" s="252"/>
      <c r="L754" s="188"/>
      <c r="M754" s="52"/>
    </row>
    <row r="755" spans="1:13" ht="15.75">
      <c r="A755" s="50"/>
      <c r="B755" s="4"/>
      <c r="C755" s="188"/>
      <c r="D755" s="188"/>
      <c r="E755" s="52"/>
      <c r="F755" s="188"/>
      <c r="G755" s="39"/>
      <c r="H755" s="39"/>
      <c r="I755" s="252"/>
      <c r="J755" s="188"/>
      <c r="K755" s="252"/>
      <c r="L755" s="188"/>
      <c r="M755" s="52"/>
    </row>
    <row r="756" spans="1:13" ht="15.75">
      <c r="A756" s="50"/>
      <c r="B756" s="4"/>
      <c r="C756" s="188"/>
      <c r="D756" s="188"/>
      <c r="E756" s="52"/>
      <c r="F756" s="188"/>
      <c r="G756" s="39"/>
      <c r="H756" s="39"/>
      <c r="I756" s="252"/>
      <c r="J756" s="188"/>
      <c r="K756" s="252"/>
      <c r="L756" s="188"/>
      <c r="M756" s="52"/>
    </row>
    <row r="757" spans="1:13" ht="15.75">
      <c r="A757" s="50"/>
      <c r="B757" s="4"/>
      <c r="C757" s="188"/>
      <c r="D757" s="188"/>
      <c r="E757" s="52"/>
      <c r="F757" s="188"/>
      <c r="G757" s="39"/>
      <c r="H757" s="39"/>
      <c r="I757" s="252"/>
      <c r="J757" s="188"/>
      <c r="K757" s="252"/>
      <c r="L757" s="188"/>
      <c r="M757" s="52"/>
    </row>
    <row r="758" spans="1:13" ht="15.75">
      <c r="A758" s="50"/>
      <c r="B758" s="4"/>
      <c r="C758" s="188"/>
      <c r="D758" s="188"/>
      <c r="E758" s="52"/>
      <c r="F758" s="188"/>
      <c r="G758" s="39"/>
      <c r="H758" s="39"/>
      <c r="I758" s="252"/>
      <c r="J758" s="188"/>
      <c r="K758" s="252"/>
      <c r="L758" s="188"/>
      <c r="M758" s="52"/>
    </row>
    <row r="759" spans="1:13" ht="15.75">
      <c r="A759" s="50"/>
      <c r="B759" s="4"/>
      <c r="C759" s="188"/>
      <c r="D759" s="188"/>
      <c r="E759" s="52"/>
      <c r="F759" s="188"/>
      <c r="G759" s="39"/>
      <c r="H759" s="39"/>
      <c r="I759" s="252"/>
      <c r="J759" s="188"/>
      <c r="K759" s="252"/>
      <c r="L759" s="188"/>
      <c r="M759" s="52"/>
    </row>
    <row r="760" spans="1:13" ht="15.75">
      <c r="A760" s="50"/>
      <c r="B760" s="4"/>
      <c r="C760" s="188"/>
      <c r="D760" s="188"/>
      <c r="E760" s="52"/>
      <c r="F760" s="188"/>
      <c r="G760" s="39"/>
      <c r="H760" s="39"/>
      <c r="I760" s="252"/>
      <c r="J760" s="188"/>
      <c r="K760" s="252"/>
      <c r="L760" s="188"/>
      <c r="M760" s="52"/>
    </row>
    <row r="761" spans="1:13" ht="15.75">
      <c r="A761" s="50"/>
      <c r="B761" s="4"/>
      <c r="C761" s="188"/>
      <c r="D761" s="188"/>
      <c r="E761" s="52"/>
      <c r="F761" s="188"/>
      <c r="G761" s="39"/>
      <c r="H761" s="39"/>
      <c r="I761" s="252"/>
      <c r="J761" s="188"/>
      <c r="K761" s="252"/>
      <c r="L761" s="188"/>
      <c r="M761" s="52"/>
    </row>
    <row r="762" spans="1:13" ht="15.75">
      <c r="A762" s="50"/>
      <c r="B762" s="4"/>
      <c r="C762" s="188"/>
      <c r="D762" s="188"/>
      <c r="E762" s="52"/>
      <c r="F762" s="188"/>
      <c r="G762" s="39"/>
      <c r="H762" s="39"/>
      <c r="I762" s="252"/>
      <c r="J762" s="188"/>
      <c r="K762" s="252"/>
      <c r="L762" s="188"/>
      <c r="M762" s="52"/>
    </row>
    <row r="763" spans="1:13" ht="15.75">
      <c r="A763" s="50"/>
      <c r="B763" s="4"/>
      <c r="C763" s="188"/>
      <c r="D763" s="188"/>
      <c r="E763" s="52"/>
      <c r="F763" s="188"/>
      <c r="G763" s="39"/>
      <c r="H763" s="39"/>
      <c r="I763" s="252"/>
      <c r="J763" s="188"/>
      <c r="K763" s="252"/>
      <c r="L763" s="188"/>
      <c r="M763" s="52"/>
    </row>
    <row r="764" spans="1:13" ht="15.75">
      <c r="A764" s="50"/>
      <c r="B764" s="4"/>
      <c r="C764" s="188"/>
      <c r="D764" s="188"/>
      <c r="E764" s="52"/>
      <c r="F764" s="188"/>
      <c r="G764" s="39"/>
      <c r="H764" s="39"/>
      <c r="I764" s="252"/>
      <c r="J764" s="188"/>
      <c r="K764" s="252"/>
      <c r="L764" s="188"/>
      <c r="M764" s="52"/>
    </row>
    <row r="765" spans="1:13" ht="15.75">
      <c r="A765" s="50"/>
      <c r="B765" s="4"/>
      <c r="C765" s="188"/>
      <c r="D765" s="188"/>
      <c r="E765" s="52"/>
      <c r="F765" s="188"/>
      <c r="G765" s="39"/>
      <c r="H765" s="39"/>
      <c r="I765" s="252"/>
      <c r="J765" s="188"/>
      <c r="K765" s="252"/>
      <c r="L765" s="188"/>
      <c r="M765" s="52"/>
    </row>
    <row r="766" spans="1:13" ht="15.75">
      <c r="A766" s="50"/>
      <c r="B766" s="4"/>
      <c r="C766" s="188"/>
      <c r="D766" s="188"/>
      <c r="E766" s="52"/>
      <c r="F766" s="188"/>
      <c r="G766" s="39"/>
      <c r="H766" s="39"/>
      <c r="I766" s="252"/>
      <c r="J766" s="188"/>
      <c r="K766" s="252"/>
      <c r="L766" s="188"/>
      <c r="M766" s="52"/>
    </row>
    <row r="767" spans="1:13" ht="15.75">
      <c r="A767" s="50"/>
      <c r="B767" s="4"/>
      <c r="C767" s="188"/>
      <c r="D767" s="188"/>
      <c r="E767" s="52"/>
      <c r="F767" s="188"/>
      <c r="G767" s="39"/>
      <c r="H767" s="39"/>
      <c r="I767" s="252"/>
      <c r="J767" s="188"/>
      <c r="K767" s="252"/>
      <c r="L767" s="188"/>
      <c r="M767" s="52"/>
    </row>
    <row r="768" spans="1:13" ht="15.75">
      <c r="A768" s="50"/>
      <c r="B768" s="4"/>
      <c r="C768" s="188"/>
      <c r="D768" s="188"/>
      <c r="E768" s="52"/>
      <c r="F768" s="188"/>
      <c r="G768" s="39"/>
      <c r="H768" s="39"/>
      <c r="I768" s="252"/>
      <c r="J768" s="188"/>
      <c r="K768" s="252"/>
      <c r="L768" s="188"/>
      <c r="M768" s="52"/>
    </row>
  </sheetData>
  <sheetProtection/>
  <autoFilter ref="A7:O169"/>
  <mergeCells count="12">
    <mergeCell ref="H1:K1"/>
    <mergeCell ref="F5:F6"/>
    <mergeCell ref="G5:H5"/>
    <mergeCell ref="I5:J5"/>
    <mergeCell ref="K5:L5"/>
    <mergeCell ref="M5:M6"/>
    <mergeCell ref="A2:M2"/>
    <mergeCell ref="A5:A6"/>
    <mergeCell ref="B5:B6"/>
    <mergeCell ref="C5:C6"/>
    <mergeCell ref="D5:D6"/>
    <mergeCell ref="E5:E6"/>
  </mergeCells>
  <printOptions/>
  <pageMargins left="0.5511811023622047" right="0.1968503937007874" top="0.2755905511811024" bottom="0.3937007874015748" header="0.1968503937007874" footer="0.1968503937007874"/>
  <pageSetup horizontalDpi="600" verticalDpi="600" orientation="landscape" paperSize="9" scale="88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941"/>
  <sheetViews>
    <sheetView view="pageBreakPreview" zoomScaleSheetLayoutView="100" zoomScalePageLayoutView="0" workbookViewId="0" topLeftCell="A326">
      <selection activeCell="C368" sqref="C368"/>
    </sheetView>
  </sheetViews>
  <sheetFormatPr defaultColWidth="9.140625" defaultRowHeight="12.75"/>
  <cols>
    <col min="1" max="1" width="3.8515625" style="186" customWidth="1"/>
    <col min="2" max="2" width="10.7109375" style="83" hidden="1" customWidth="1"/>
    <col min="3" max="3" width="54.140625" style="29" customWidth="1"/>
    <col min="4" max="4" width="7.57421875" style="79" bestFit="1" customWidth="1"/>
    <col min="5" max="5" width="6.57421875" style="180" hidden="1" customWidth="1"/>
    <col min="6" max="6" width="8.7109375" style="79" customWidth="1"/>
    <col min="7" max="7" width="8.8515625" style="77" hidden="1" customWidth="1"/>
    <col min="8" max="8" width="11.7109375" style="77" hidden="1" customWidth="1"/>
    <col min="9" max="9" width="8.8515625" style="187" hidden="1" customWidth="1"/>
    <col min="10" max="10" width="11.7109375" style="79" hidden="1" customWidth="1"/>
    <col min="11" max="11" width="8.8515625" style="187" hidden="1" customWidth="1"/>
    <col min="12" max="12" width="11.7109375" style="79" hidden="1" customWidth="1"/>
    <col min="13" max="13" width="10.8515625" style="226" customWidth="1"/>
    <col min="14" max="14" width="14.8515625" style="180" customWidth="1"/>
    <col min="15" max="15" width="19.8515625" style="29" customWidth="1"/>
    <col min="16" max="16" width="12.8515625" style="79" customWidth="1"/>
    <col min="17" max="17" width="31.421875" style="29" customWidth="1"/>
    <col min="18" max="16384" width="9.140625" style="29" customWidth="1"/>
  </cols>
  <sheetData>
    <row r="1" spans="1:14" s="119" customFormat="1" ht="54" customHeight="1">
      <c r="A1" s="299" t="e">
        <f>#REF!</f>
        <v>#REF!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</row>
    <row r="2" spans="1:14" s="119" customFormat="1" ht="13.5" customHeight="1">
      <c r="A2" s="120"/>
      <c r="B2" s="5"/>
      <c r="C2" s="121"/>
      <c r="D2" s="121"/>
      <c r="E2" s="121"/>
      <c r="F2" s="121"/>
      <c r="G2" s="122"/>
      <c r="H2" s="122"/>
      <c r="I2" s="123"/>
      <c r="J2" s="121"/>
      <c r="K2" s="123"/>
      <c r="L2" s="121"/>
      <c r="M2" s="207"/>
      <c r="N2" s="121"/>
    </row>
    <row r="3" spans="1:14" s="119" customFormat="1" ht="19.5" customHeight="1">
      <c r="A3" s="287" t="s">
        <v>218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</row>
    <row r="4" spans="1:14" s="119" customFormat="1" ht="13.5" customHeight="1">
      <c r="A4" s="124"/>
      <c r="B4" s="8"/>
      <c r="C4" s="125"/>
      <c r="D4" s="125"/>
      <c r="E4" s="125"/>
      <c r="F4" s="125"/>
      <c r="G4" s="126"/>
      <c r="H4" s="126"/>
      <c r="I4" s="127"/>
      <c r="J4" s="125"/>
      <c r="K4" s="127"/>
      <c r="L4" s="125"/>
      <c r="M4" s="208"/>
      <c r="N4" s="125"/>
    </row>
    <row r="5" spans="1:14" s="128" customFormat="1" ht="18.75" customHeight="1">
      <c r="A5" s="300" t="s">
        <v>25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</row>
    <row r="6" spans="1:14" s="119" customFormat="1" ht="14.25" customHeight="1" thickBot="1">
      <c r="A6" s="129"/>
      <c r="B6" s="17"/>
      <c r="C6" s="130"/>
      <c r="D6" s="130"/>
      <c r="E6" s="130"/>
      <c r="F6" s="130"/>
      <c r="G6" s="131"/>
      <c r="H6" s="131"/>
      <c r="I6" s="132"/>
      <c r="J6" s="130"/>
      <c r="K6" s="132"/>
      <c r="L6" s="130"/>
      <c r="M6" s="209"/>
      <c r="N6" s="130"/>
    </row>
    <row r="7" spans="1:14" s="6" customFormat="1" ht="36" customHeight="1" thickBot="1" thickTop="1">
      <c r="A7" s="288" t="s">
        <v>3</v>
      </c>
      <c r="B7" s="289" t="s">
        <v>4</v>
      </c>
      <c r="C7" s="289" t="s">
        <v>1</v>
      </c>
      <c r="D7" s="289" t="s">
        <v>0</v>
      </c>
      <c r="E7" s="291" t="s">
        <v>42</v>
      </c>
      <c r="F7" s="291" t="s">
        <v>105</v>
      </c>
      <c r="G7" s="294" t="s">
        <v>41</v>
      </c>
      <c r="H7" s="295"/>
      <c r="I7" s="289" t="s">
        <v>38</v>
      </c>
      <c r="J7" s="289"/>
      <c r="K7" s="289" t="s">
        <v>45</v>
      </c>
      <c r="L7" s="289"/>
      <c r="M7" s="301" t="s">
        <v>225</v>
      </c>
      <c r="N7" s="302"/>
    </row>
    <row r="8" spans="1:15" s="6" customFormat="1" ht="29.25" customHeight="1" thickBot="1" thickTop="1">
      <c r="A8" s="288"/>
      <c r="B8" s="289"/>
      <c r="C8" s="289"/>
      <c r="D8" s="289"/>
      <c r="E8" s="292"/>
      <c r="F8" s="292"/>
      <c r="G8" s="18" t="s">
        <v>40</v>
      </c>
      <c r="H8" s="13" t="s">
        <v>28</v>
      </c>
      <c r="I8" s="18" t="s">
        <v>40</v>
      </c>
      <c r="J8" s="7" t="s">
        <v>28</v>
      </c>
      <c r="K8" s="18" t="s">
        <v>40</v>
      </c>
      <c r="L8" s="7" t="s">
        <v>28</v>
      </c>
      <c r="M8" s="228" t="s">
        <v>223</v>
      </c>
      <c r="N8" s="205" t="s">
        <v>39</v>
      </c>
      <c r="O8" s="76"/>
    </row>
    <row r="9" spans="1:14" s="190" customFormat="1" ht="14.25" customHeight="1" thickBot="1" thickTop="1">
      <c r="A9" s="86">
        <v>1</v>
      </c>
      <c r="B9" s="86">
        <v>2</v>
      </c>
      <c r="C9" s="86">
        <v>3</v>
      </c>
      <c r="D9" s="86">
        <v>4</v>
      </c>
      <c r="E9" s="86">
        <v>5</v>
      </c>
      <c r="F9" s="86">
        <v>6</v>
      </c>
      <c r="G9" s="86">
        <v>7</v>
      </c>
      <c r="H9" s="86">
        <v>8</v>
      </c>
      <c r="I9" s="86">
        <v>9</v>
      </c>
      <c r="J9" s="86">
        <v>10</v>
      </c>
      <c r="K9" s="86">
        <v>11</v>
      </c>
      <c r="L9" s="86">
        <v>12</v>
      </c>
      <c r="M9" s="210"/>
      <c r="N9" s="86">
        <v>13</v>
      </c>
    </row>
    <row r="10" spans="1:14" ht="18" customHeight="1" thickTop="1">
      <c r="A10" s="25"/>
      <c r="B10" s="58"/>
      <c r="C10" s="26" t="s">
        <v>46</v>
      </c>
      <c r="D10" s="25"/>
      <c r="E10" s="28"/>
      <c r="F10" s="25"/>
      <c r="G10" s="25"/>
      <c r="H10" s="25"/>
      <c r="I10" s="27"/>
      <c r="J10" s="25"/>
      <c r="K10" s="27"/>
      <c r="L10" s="25"/>
      <c r="M10" s="211"/>
      <c r="N10" s="57"/>
    </row>
    <row r="11" spans="1:16" s="23" customFormat="1" ht="31.5">
      <c r="A11" s="59">
        <v>1</v>
      </c>
      <c r="B11" s="80" t="s">
        <v>220</v>
      </c>
      <c r="C11" s="11" t="s">
        <v>43</v>
      </c>
      <c r="D11" s="11" t="s">
        <v>50</v>
      </c>
      <c r="E11" s="31"/>
      <c r="F11" s="74">
        <f>1.9*1.9*2*(18+11+1)+16*28*0.12</f>
        <v>270.36</v>
      </c>
      <c r="G11" s="15"/>
      <c r="H11" s="15"/>
      <c r="I11" s="15"/>
      <c r="J11" s="15"/>
      <c r="K11" s="15"/>
      <c r="L11" s="15"/>
      <c r="M11" s="212"/>
      <c r="N11" s="22"/>
      <c r="P11" s="77"/>
    </row>
    <row r="12" spans="1:16" s="23" customFormat="1" ht="18">
      <c r="A12" s="32"/>
      <c r="B12" s="194"/>
      <c r="C12" s="12" t="s">
        <v>12</v>
      </c>
      <c r="D12" s="12" t="s">
        <v>49</v>
      </c>
      <c r="E12" s="22">
        <v>1</v>
      </c>
      <c r="F12" s="75">
        <f>E12*F11</f>
        <v>270.36</v>
      </c>
      <c r="G12" s="22"/>
      <c r="H12" s="22">
        <f>G12*F12</f>
        <v>0</v>
      </c>
      <c r="I12" s="24">
        <v>2.5</v>
      </c>
      <c r="J12" s="22">
        <f>I12*F12</f>
        <v>675.9000000000001</v>
      </c>
      <c r="K12" s="30">
        <f>G12*0.03</f>
        <v>0</v>
      </c>
      <c r="L12" s="22">
        <f>K12*F12</f>
        <v>0</v>
      </c>
      <c r="M12" s="200">
        <f>G12+I12+K12</f>
        <v>2.5</v>
      </c>
      <c r="N12" s="22">
        <f>L12+J12+H12</f>
        <v>675.9000000000001</v>
      </c>
      <c r="P12" s="84"/>
    </row>
    <row r="13" spans="1:16" s="23" customFormat="1" ht="18">
      <c r="A13" s="32"/>
      <c r="B13" s="80" t="s">
        <v>110</v>
      </c>
      <c r="C13" s="12" t="s">
        <v>76</v>
      </c>
      <c r="D13" s="12" t="s">
        <v>49</v>
      </c>
      <c r="E13" s="22">
        <v>1</v>
      </c>
      <c r="F13" s="75">
        <f>F11*E13</f>
        <v>270.36</v>
      </c>
      <c r="G13" s="22"/>
      <c r="H13" s="22">
        <f>G13*F13</f>
        <v>0</v>
      </c>
      <c r="I13" s="22"/>
      <c r="J13" s="22">
        <f>I13*F13</f>
        <v>0</v>
      </c>
      <c r="K13" s="24">
        <v>6.5</v>
      </c>
      <c r="L13" s="22">
        <f>K13*F13</f>
        <v>1757.3400000000001</v>
      </c>
      <c r="M13" s="200">
        <f>G13+I13+K13</f>
        <v>6.5</v>
      </c>
      <c r="N13" s="22">
        <f>L13+J13+H13</f>
        <v>1757.3400000000001</v>
      </c>
      <c r="O13" s="78"/>
      <c r="P13" s="85"/>
    </row>
    <row r="14" spans="1:16" s="23" customFormat="1" ht="47.25">
      <c r="A14" s="59">
        <f>A11+1</f>
        <v>2</v>
      </c>
      <c r="B14" s="80" t="s">
        <v>221</v>
      </c>
      <c r="C14" s="11" t="s">
        <v>109</v>
      </c>
      <c r="D14" s="11" t="s">
        <v>50</v>
      </c>
      <c r="E14" s="22"/>
      <c r="F14" s="74">
        <f>1.9*1.9*2*(18+11+1)*0.3</f>
        <v>64.97999999999999</v>
      </c>
      <c r="G14" s="15"/>
      <c r="H14" s="15"/>
      <c r="I14" s="15"/>
      <c r="J14" s="15"/>
      <c r="K14" s="15"/>
      <c r="L14" s="15"/>
      <c r="M14" s="212"/>
      <c r="N14" s="22"/>
      <c r="P14" s="85"/>
    </row>
    <row r="15" spans="1:16" s="23" customFormat="1" ht="18">
      <c r="A15" s="32"/>
      <c r="B15" s="194"/>
      <c r="C15" s="12" t="s">
        <v>12</v>
      </c>
      <c r="D15" s="12" t="s">
        <v>49</v>
      </c>
      <c r="E15" s="22">
        <v>1</v>
      </c>
      <c r="F15" s="75">
        <f>E15*F14</f>
        <v>64.97999999999999</v>
      </c>
      <c r="G15" s="22"/>
      <c r="H15" s="22">
        <f>G15*F15</f>
        <v>0</v>
      </c>
      <c r="I15" s="24">
        <f>23.9*8/1.5/50</f>
        <v>2.5493333333333332</v>
      </c>
      <c r="J15" s="22">
        <f>I15*F15</f>
        <v>165.65567999999996</v>
      </c>
      <c r="K15" s="30">
        <f>G15*0.03</f>
        <v>0</v>
      </c>
      <c r="L15" s="22">
        <f>K15*F15</f>
        <v>0</v>
      </c>
      <c r="M15" s="200">
        <f>G15+I15+K15</f>
        <v>2.5493333333333332</v>
      </c>
      <c r="N15" s="22">
        <f>L15+J15+H15</f>
        <v>165.65567999999996</v>
      </c>
      <c r="P15" s="84"/>
    </row>
    <row r="16" spans="1:16" s="23" customFormat="1" ht="18">
      <c r="A16" s="32"/>
      <c r="B16" s="80" t="s">
        <v>104</v>
      </c>
      <c r="C16" s="12" t="s">
        <v>76</v>
      </c>
      <c r="D16" s="12" t="s">
        <v>49</v>
      </c>
      <c r="E16" s="22">
        <v>1</v>
      </c>
      <c r="F16" s="75">
        <f>E16*F14</f>
        <v>64.97999999999999</v>
      </c>
      <c r="G16" s="22"/>
      <c r="H16" s="22">
        <f>G16*F16</f>
        <v>0</v>
      </c>
      <c r="I16" s="22"/>
      <c r="J16" s="22">
        <f>I16*F16</f>
        <v>0</v>
      </c>
      <c r="K16" s="22">
        <f>171.2*8/1.25/50</f>
        <v>21.913599999999995</v>
      </c>
      <c r="L16" s="22">
        <f>K16*F16</f>
        <v>1423.9457279999995</v>
      </c>
      <c r="M16" s="200">
        <f>G16+I16+K16</f>
        <v>21.913599999999995</v>
      </c>
      <c r="N16" s="22">
        <f>L16+J16+H16</f>
        <v>1423.9457279999995</v>
      </c>
      <c r="O16" s="78"/>
      <c r="P16" s="85"/>
    </row>
    <row r="17" spans="1:16" s="23" customFormat="1" ht="31.5">
      <c r="A17" s="59">
        <f>A14+1</f>
        <v>3</v>
      </c>
      <c r="B17" s="80" t="s">
        <v>106</v>
      </c>
      <c r="C17" s="11" t="s">
        <v>44</v>
      </c>
      <c r="D17" s="11" t="s">
        <v>50</v>
      </c>
      <c r="E17" s="31"/>
      <c r="F17" s="74">
        <f>1.9*1.9*0.1*18+16*28*0.05</f>
        <v>28.898000000000003</v>
      </c>
      <c r="G17" s="15"/>
      <c r="H17" s="15"/>
      <c r="I17" s="15"/>
      <c r="J17" s="15"/>
      <c r="K17" s="15"/>
      <c r="L17" s="15"/>
      <c r="M17" s="212"/>
      <c r="N17" s="22"/>
      <c r="P17" s="77"/>
    </row>
    <row r="18" spans="1:16" s="23" customFormat="1" ht="18">
      <c r="A18" s="32"/>
      <c r="B18" s="194"/>
      <c r="C18" s="12" t="s">
        <v>12</v>
      </c>
      <c r="D18" s="12" t="s">
        <v>49</v>
      </c>
      <c r="E18" s="22">
        <v>1</v>
      </c>
      <c r="F18" s="75">
        <f>E18*F17</f>
        <v>28.898000000000003</v>
      </c>
      <c r="G18" s="22"/>
      <c r="H18" s="22">
        <f>G18*F18</f>
        <v>0</v>
      </c>
      <c r="I18" s="24">
        <v>25</v>
      </c>
      <c r="J18" s="22">
        <f>I18*F18</f>
        <v>722.45</v>
      </c>
      <c r="K18" s="30">
        <f>G18*0.03</f>
        <v>0</v>
      </c>
      <c r="L18" s="22">
        <f>K18*F18</f>
        <v>0</v>
      </c>
      <c r="M18" s="200">
        <f>G18+I18+K18</f>
        <v>25</v>
      </c>
      <c r="N18" s="22">
        <f>L18+J18+H18</f>
        <v>722.45</v>
      </c>
      <c r="P18" s="77"/>
    </row>
    <row r="19" spans="1:16" s="23" customFormat="1" ht="37.5" customHeight="1">
      <c r="A19" s="59">
        <f>A17+1</f>
        <v>4</v>
      </c>
      <c r="B19" s="80" t="s">
        <v>107</v>
      </c>
      <c r="C19" s="11" t="s">
        <v>108</v>
      </c>
      <c r="D19" s="11" t="s">
        <v>50</v>
      </c>
      <c r="E19" s="22"/>
      <c r="F19" s="74">
        <f>1.9*1.9*0.1*12+5</f>
        <v>9.332</v>
      </c>
      <c r="G19" s="15"/>
      <c r="H19" s="15"/>
      <c r="I19" s="15"/>
      <c r="J19" s="15"/>
      <c r="K19" s="15"/>
      <c r="L19" s="15"/>
      <c r="M19" s="212"/>
      <c r="N19" s="22"/>
      <c r="P19" s="77"/>
    </row>
    <row r="20" spans="1:16" s="23" customFormat="1" ht="18">
      <c r="A20" s="32"/>
      <c r="B20" s="194"/>
      <c r="C20" s="12" t="s">
        <v>12</v>
      </c>
      <c r="D20" s="12" t="s">
        <v>49</v>
      </c>
      <c r="E20" s="22">
        <v>1</v>
      </c>
      <c r="F20" s="75">
        <f>E20*F19</f>
        <v>9.332</v>
      </c>
      <c r="G20" s="22"/>
      <c r="H20" s="22">
        <f>G20*F20</f>
        <v>0</v>
      </c>
      <c r="I20" s="24">
        <v>40</v>
      </c>
      <c r="J20" s="22">
        <f>I20*F20</f>
        <v>373.28000000000003</v>
      </c>
      <c r="K20" s="30">
        <f>G20*0.03</f>
        <v>0</v>
      </c>
      <c r="L20" s="22">
        <f>K20*F20</f>
        <v>0</v>
      </c>
      <c r="M20" s="200">
        <f>G20+I20+K20</f>
        <v>40</v>
      </c>
      <c r="N20" s="22">
        <f>L20+J20+H20</f>
        <v>373.28000000000003</v>
      </c>
      <c r="P20" s="77"/>
    </row>
    <row r="21" spans="1:16" s="23" customFormat="1" ht="18">
      <c r="A21" s="32"/>
      <c r="B21" s="194"/>
      <c r="C21" s="12" t="s">
        <v>75</v>
      </c>
      <c r="D21" s="12" t="s">
        <v>49</v>
      </c>
      <c r="E21" s="22">
        <v>1</v>
      </c>
      <c r="F21" s="75">
        <f>E21*F19</f>
        <v>9.332</v>
      </c>
      <c r="G21" s="22"/>
      <c r="H21" s="22">
        <f>G21*F21</f>
        <v>0</v>
      </c>
      <c r="I21" s="22"/>
      <c r="J21" s="22">
        <f>I21*F21</f>
        <v>0</v>
      </c>
      <c r="K21" s="22">
        <v>7.5</v>
      </c>
      <c r="L21" s="22">
        <f>K21*F21</f>
        <v>69.99000000000001</v>
      </c>
      <c r="M21" s="200">
        <f>G21+I21+K21</f>
        <v>7.5</v>
      </c>
      <c r="N21" s="22">
        <f>L21+J21+H21</f>
        <v>69.99000000000001</v>
      </c>
      <c r="P21" s="77"/>
    </row>
    <row r="22" spans="1:16" s="23" customFormat="1" ht="31.5">
      <c r="A22" s="59">
        <f>A19+1</f>
        <v>5</v>
      </c>
      <c r="B22" s="80" t="s">
        <v>112</v>
      </c>
      <c r="C22" s="11" t="s">
        <v>111</v>
      </c>
      <c r="D22" s="11" t="s">
        <v>6</v>
      </c>
      <c r="E22" s="31"/>
      <c r="F22" s="74">
        <f>(F11+F17)*1.85+(F14+F19)*2.3</f>
        <v>724.5449000000001</v>
      </c>
      <c r="G22" s="15"/>
      <c r="H22" s="15"/>
      <c r="I22" s="15"/>
      <c r="J22" s="15"/>
      <c r="K22" s="15"/>
      <c r="L22" s="15"/>
      <c r="M22" s="212"/>
      <c r="N22" s="22"/>
      <c r="P22" s="77"/>
    </row>
    <row r="23" spans="1:16" s="23" customFormat="1" ht="15.75">
      <c r="A23" s="32"/>
      <c r="B23" s="194"/>
      <c r="C23" s="12" t="s">
        <v>12</v>
      </c>
      <c r="D23" s="12" t="s">
        <v>6</v>
      </c>
      <c r="E23" s="22">
        <v>1</v>
      </c>
      <c r="F23" s="22">
        <f>F22</f>
        <v>724.5449000000001</v>
      </c>
      <c r="G23" s="22"/>
      <c r="H23" s="22">
        <f>G23*F23</f>
        <v>0</v>
      </c>
      <c r="I23" s="24">
        <v>0.27</v>
      </c>
      <c r="J23" s="22">
        <f>I23*F23</f>
        <v>195.62712300000004</v>
      </c>
      <c r="K23" s="30">
        <f>G23*0.03</f>
        <v>0</v>
      </c>
      <c r="L23" s="22">
        <f>K23*F23</f>
        <v>0</v>
      </c>
      <c r="M23" s="200">
        <f>G23+I23+K23</f>
        <v>0.27</v>
      </c>
      <c r="N23" s="22">
        <f>L23+J23+H23</f>
        <v>195.62712300000004</v>
      </c>
      <c r="P23" s="77"/>
    </row>
    <row r="24" spans="1:16" s="23" customFormat="1" ht="15.75">
      <c r="A24" s="32"/>
      <c r="B24" s="194"/>
      <c r="C24" s="12" t="s">
        <v>47</v>
      </c>
      <c r="D24" s="12" t="s">
        <v>6</v>
      </c>
      <c r="E24" s="22">
        <v>1</v>
      </c>
      <c r="F24" s="22">
        <f>F22</f>
        <v>724.5449000000001</v>
      </c>
      <c r="G24" s="22"/>
      <c r="H24" s="22">
        <f>G24*F24</f>
        <v>0</v>
      </c>
      <c r="I24" s="22"/>
      <c r="J24" s="22">
        <f>I24*F24</f>
        <v>0</v>
      </c>
      <c r="K24" s="24">
        <f>1.47-I23</f>
        <v>1.2</v>
      </c>
      <c r="L24" s="22">
        <f>K24*F24</f>
        <v>869.4538800000001</v>
      </c>
      <c r="M24" s="200">
        <f>G24+I24+K24</f>
        <v>1.2</v>
      </c>
      <c r="N24" s="22">
        <f>L24+J24+H24</f>
        <v>869.4538800000001</v>
      </c>
      <c r="P24" s="77"/>
    </row>
    <row r="25" spans="1:14" ht="18" customHeight="1">
      <c r="A25" s="25"/>
      <c r="B25" s="58"/>
      <c r="C25" s="26" t="s">
        <v>2</v>
      </c>
      <c r="D25" s="25"/>
      <c r="E25" s="28"/>
      <c r="F25" s="25"/>
      <c r="G25" s="25"/>
      <c r="H25" s="25"/>
      <c r="I25" s="27"/>
      <c r="J25" s="25"/>
      <c r="K25" s="27"/>
      <c r="L25" s="25"/>
      <c r="M25" s="211"/>
      <c r="N25" s="28"/>
    </row>
    <row r="26" spans="1:15" s="50" customFormat="1" ht="33" customHeight="1">
      <c r="A26" s="59">
        <f>A22+1</f>
        <v>6</v>
      </c>
      <c r="B26" s="117" t="s">
        <v>222</v>
      </c>
      <c r="C26" s="14" t="s">
        <v>113</v>
      </c>
      <c r="D26" s="14" t="s">
        <v>50</v>
      </c>
      <c r="E26" s="30"/>
      <c r="F26" s="74">
        <f>0.29*18+0.29*1+0.1*11</f>
        <v>6.609999999999999</v>
      </c>
      <c r="G26" s="36"/>
      <c r="H26" s="44"/>
      <c r="I26" s="36"/>
      <c r="J26" s="49"/>
      <c r="K26" s="36"/>
      <c r="L26" s="49"/>
      <c r="M26" s="212"/>
      <c r="N26" s="62"/>
      <c r="O26" s="55"/>
    </row>
    <row r="27" spans="1:14" s="52" customFormat="1" ht="15" customHeight="1">
      <c r="A27" s="32"/>
      <c r="B27" s="2"/>
      <c r="C27" s="12" t="s">
        <v>12</v>
      </c>
      <c r="D27" s="31" t="s">
        <v>49</v>
      </c>
      <c r="E27" s="64">
        <v>1</v>
      </c>
      <c r="F27" s="75">
        <f>E27*F26</f>
        <v>6.609999999999999</v>
      </c>
      <c r="G27" s="30">
        <v>0</v>
      </c>
      <c r="H27" s="22">
        <f>G27*F27</f>
        <v>0</v>
      </c>
      <c r="I27" s="12">
        <f>37.5</f>
        <v>37.5</v>
      </c>
      <c r="J27" s="22">
        <f>I27*F27</f>
        <v>247.87499999999997</v>
      </c>
      <c r="K27" s="30">
        <f>G27*0.03</f>
        <v>0</v>
      </c>
      <c r="L27" s="22">
        <f>K27*F27</f>
        <v>0</v>
      </c>
      <c r="M27" s="200">
        <f>G27+I27+K27</f>
        <v>37.5</v>
      </c>
      <c r="N27" s="22">
        <f>L27+J27+H27</f>
        <v>247.87499999999997</v>
      </c>
    </row>
    <row r="28" spans="1:14" s="19" customFormat="1" ht="15" customHeight="1">
      <c r="A28" s="31"/>
      <c r="B28" s="2"/>
      <c r="C28" s="32" t="s">
        <v>52</v>
      </c>
      <c r="D28" s="31" t="s">
        <v>49</v>
      </c>
      <c r="E28" s="65">
        <v>1.015</v>
      </c>
      <c r="F28" s="75">
        <f>E28*F26</f>
        <v>6.709149999999998</v>
      </c>
      <c r="G28" s="30">
        <f>125/1.18</f>
        <v>105.93220338983052</v>
      </c>
      <c r="H28" s="22">
        <f>G28*F28</f>
        <v>710.7150423728813</v>
      </c>
      <c r="I28" s="30"/>
      <c r="J28" s="22">
        <f>I28*F28</f>
        <v>0</v>
      </c>
      <c r="K28" s="30">
        <f>25</f>
        <v>25</v>
      </c>
      <c r="L28" s="22">
        <f>K28*F28</f>
        <v>167.72874999999996</v>
      </c>
      <c r="M28" s="200">
        <f>G28+I28+K28</f>
        <v>130.93220338983053</v>
      </c>
      <c r="N28" s="22">
        <f>L28+J28+H28</f>
        <v>878.4437923728813</v>
      </c>
    </row>
    <row r="29" spans="1:15" s="50" customFormat="1" ht="47.25">
      <c r="A29" s="59">
        <f>A26+1</f>
        <v>7</v>
      </c>
      <c r="B29" s="117" t="s">
        <v>77</v>
      </c>
      <c r="C29" s="14" t="s">
        <v>114</v>
      </c>
      <c r="D29" s="14" t="s">
        <v>50</v>
      </c>
      <c r="E29" s="30"/>
      <c r="F29" s="199">
        <f>1.35*18+1.35*1+0.38*11</f>
        <v>29.830000000000002</v>
      </c>
      <c r="G29" s="36"/>
      <c r="H29" s="44"/>
      <c r="I29" s="36"/>
      <c r="J29" s="49"/>
      <c r="K29" s="36"/>
      <c r="L29" s="49"/>
      <c r="M29" s="212"/>
      <c r="N29" s="62"/>
      <c r="O29" s="55"/>
    </row>
    <row r="30" spans="1:14" s="52" customFormat="1" ht="17.25" customHeight="1">
      <c r="A30" s="32"/>
      <c r="B30" s="2"/>
      <c r="C30" s="12" t="s">
        <v>12</v>
      </c>
      <c r="D30" s="31" t="s">
        <v>49</v>
      </c>
      <c r="E30" s="64">
        <v>1</v>
      </c>
      <c r="F30" s="56">
        <f>E30*F29</f>
        <v>29.830000000000002</v>
      </c>
      <c r="G30" s="30">
        <v>0</v>
      </c>
      <c r="H30" s="22">
        <f aca="true" t="shared" si="0" ref="H30:H37">G30*F30</f>
        <v>0</v>
      </c>
      <c r="I30" s="61">
        <v>75</v>
      </c>
      <c r="J30" s="22">
        <f aca="true" t="shared" si="1" ref="J30:J37">I30*F30</f>
        <v>2237.25</v>
      </c>
      <c r="K30" s="30">
        <f>G30*0.03</f>
        <v>0</v>
      </c>
      <c r="L30" s="22">
        <f aca="true" t="shared" si="2" ref="L30:L37">K30*F30</f>
        <v>0</v>
      </c>
      <c r="M30" s="200">
        <f aca="true" t="shared" si="3" ref="M30:M37">G30+I30+K30</f>
        <v>75</v>
      </c>
      <c r="N30" s="22">
        <f aca="true" t="shared" si="4" ref="N30:N37">L30+J30+H30</f>
        <v>2237.25</v>
      </c>
    </row>
    <row r="31" spans="1:14" s="19" customFormat="1" ht="17.25" customHeight="1">
      <c r="A31" s="31"/>
      <c r="B31" s="2"/>
      <c r="C31" s="32" t="s">
        <v>48</v>
      </c>
      <c r="D31" s="20" t="s">
        <v>6</v>
      </c>
      <c r="E31" s="64">
        <v>1.03</v>
      </c>
      <c r="F31" s="87">
        <f>((33+48)*18+(33+21)*1+(18+21)*11)*E31/1000</f>
        <v>1.99923</v>
      </c>
      <c r="G31" s="30">
        <f>900*1.75/1.18</f>
        <v>1334.7457627118645</v>
      </c>
      <c r="H31" s="22">
        <f t="shared" si="0"/>
        <v>2668.4637711864407</v>
      </c>
      <c r="I31" s="30"/>
      <c r="J31" s="22">
        <f t="shared" si="1"/>
        <v>0</v>
      </c>
      <c r="K31" s="30">
        <f>G31*0.03</f>
        <v>40.04237288135593</v>
      </c>
      <c r="L31" s="22">
        <f t="shared" si="2"/>
        <v>80.05391313559322</v>
      </c>
      <c r="M31" s="200">
        <f t="shared" si="3"/>
        <v>1374.7881355932204</v>
      </c>
      <c r="N31" s="22">
        <f t="shared" si="4"/>
        <v>2748.517684322034</v>
      </c>
    </row>
    <row r="32" spans="1:14" s="19" customFormat="1" ht="17.25" customHeight="1">
      <c r="A32" s="31"/>
      <c r="B32" s="10"/>
      <c r="C32" s="32" t="s">
        <v>102</v>
      </c>
      <c r="D32" s="20" t="s">
        <v>6</v>
      </c>
      <c r="E32" s="64">
        <v>1.03</v>
      </c>
      <c r="F32" s="87">
        <f>(2)*5*E32/1000</f>
        <v>0.0103</v>
      </c>
      <c r="G32" s="30">
        <f>920*1.75/1.18</f>
        <v>1364.406779661017</v>
      </c>
      <c r="H32" s="22">
        <f t="shared" si="0"/>
        <v>14.053389830508475</v>
      </c>
      <c r="I32" s="30"/>
      <c r="J32" s="22">
        <f t="shared" si="1"/>
        <v>0</v>
      </c>
      <c r="K32" s="30">
        <f>G32*0.03</f>
        <v>40.93220338983051</v>
      </c>
      <c r="L32" s="22">
        <f t="shared" si="2"/>
        <v>0.4216016949152543</v>
      </c>
      <c r="M32" s="200">
        <f t="shared" si="3"/>
        <v>1405.3389830508474</v>
      </c>
      <c r="N32" s="22">
        <f t="shared" si="4"/>
        <v>14.47499152542373</v>
      </c>
    </row>
    <row r="33" spans="1:14" s="19" customFormat="1" ht="17.25" customHeight="1">
      <c r="A33" s="31"/>
      <c r="B33" s="2"/>
      <c r="C33" s="12" t="s">
        <v>103</v>
      </c>
      <c r="D33" s="31" t="s">
        <v>49</v>
      </c>
      <c r="E33" s="65">
        <v>1.015</v>
      </c>
      <c r="F33" s="75">
        <f>E33*F29</f>
        <v>30.277449999999998</v>
      </c>
      <c r="G33" s="30">
        <f>136/1.18</f>
        <v>115.2542372881356</v>
      </c>
      <c r="H33" s="22">
        <f t="shared" si="0"/>
        <v>3489.604406779661</v>
      </c>
      <c r="I33" s="30"/>
      <c r="J33" s="22">
        <f t="shared" si="1"/>
        <v>0</v>
      </c>
      <c r="K33" s="30">
        <f>25</f>
        <v>25</v>
      </c>
      <c r="L33" s="22">
        <f t="shared" si="2"/>
        <v>756.93625</v>
      </c>
      <c r="M33" s="200">
        <f t="shared" si="3"/>
        <v>140.25423728813558</v>
      </c>
      <c r="N33" s="22">
        <f t="shared" si="4"/>
        <v>4246.540656779661</v>
      </c>
    </row>
    <row r="34" spans="1:14" s="41" customFormat="1" ht="15.75">
      <c r="A34" s="14"/>
      <c r="B34" s="2"/>
      <c r="C34" s="20" t="s">
        <v>115</v>
      </c>
      <c r="D34" s="20" t="s">
        <v>6</v>
      </c>
      <c r="E34" s="64">
        <v>1.03</v>
      </c>
      <c r="F34" s="87">
        <f>(96*1)*E34/1000</f>
        <v>0.09888</v>
      </c>
      <c r="G34" s="30">
        <f>2250/1.18</f>
        <v>1906.7796610169491</v>
      </c>
      <c r="H34" s="22">
        <f t="shared" si="0"/>
        <v>188.54237288135593</v>
      </c>
      <c r="I34" s="30"/>
      <c r="J34" s="22">
        <f t="shared" si="1"/>
        <v>0</v>
      </c>
      <c r="K34" s="30">
        <f>G34*0.03</f>
        <v>57.20338983050847</v>
      </c>
      <c r="L34" s="22">
        <f t="shared" si="2"/>
        <v>5.656271186440677</v>
      </c>
      <c r="M34" s="200">
        <f t="shared" si="3"/>
        <v>1963.9830508474577</v>
      </c>
      <c r="N34" s="22">
        <f t="shared" si="4"/>
        <v>194.1986440677966</v>
      </c>
    </row>
    <row r="35" spans="1:14" s="41" customFormat="1" ht="15.75">
      <c r="A35" s="14"/>
      <c r="B35" s="2"/>
      <c r="C35" s="20" t="s">
        <v>116</v>
      </c>
      <c r="D35" s="20" t="s">
        <v>6</v>
      </c>
      <c r="E35" s="64">
        <v>1.03</v>
      </c>
      <c r="F35" s="87">
        <f>(77*11)*E35/1000</f>
        <v>0.87241</v>
      </c>
      <c r="G35" s="30">
        <f>2250/1.18</f>
        <v>1906.7796610169491</v>
      </c>
      <c r="H35" s="22">
        <f t="shared" si="0"/>
        <v>1663.4936440677966</v>
      </c>
      <c r="I35" s="30"/>
      <c r="J35" s="22">
        <f t="shared" si="1"/>
        <v>0</v>
      </c>
      <c r="K35" s="30">
        <f>G35*0.03</f>
        <v>57.20338983050847</v>
      </c>
      <c r="L35" s="22">
        <f t="shared" si="2"/>
        <v>49.9048093220339</v>
      </c>
      <c r="M35" s="200">
        <f t="shared" si="3"/>
        <v>1963.9830508474577</v>
      </c>
      <c r="N35" s="22">
        <f t="shared" si="4"/>
        <v>1713.3984533898306</v>
      </c>
    </row>
    <row r="36" spans="1:14" s="19" customFormat="1" ht="17.25" customHeight="1">
      <c r="A36" s="31"/>
      <c r="B36" s="10"/>
      <c r="C36" s="32" t="s">
        <v>37</v>
      </c>
      <c r="D36" s="31" t="s">
        <v>192</v>
      </c>
      <c r="E36" s="64">
        <f>160/100</f>
        <v>1.6</v>
      </c>
      <c r="F36" s="75">
        <f>E36*F29</f>
        <v>47.72800000000001</v>
      </c>
      <c r="G36" s="30">
        <f>23/1.18</f>
        <v>19.491525423728813</v>
      </c>
      <c r="H36" s="22">
        <f t="shared" si="0"/>
        <v>930.291525423729</v>
      </c>
      <c r="I36" s="30"/>
      <c r="J36" s="22">
        <f t="shared" si="1"/>
        <v>0</v>
      </c>
      <c r="K36" s="30">
        <f>G36*0.03</f>
        <v>0.5847457627118644</v>
      </c>
      <c r="L36" s="22">
        <f t="shared" si="2"/>
        <v>27.90874576271187</v>
      </c>
      <c r="M36" s="200">
        <f t="shared" si="3"/>
        <v>20.076271186440678</v>
      </c>
      <c r="N36" s="22">
        <f t="shared" si="4"/>
        <v>958.2002711864409</v>
      </c>
    </row>
    <row r="37" spans="1:16" s="23" customFormat="1" ht="17.25" customHeight="1">
      <c r="A37" s="33"/>
      <c r="B37" s="195"/>
      <c r="C37" s="12" t="s">
        <v>32</v>
      </c>
      <c r="D37" s="31" t="s">
        <v>49</v>
      </c>
      <c r="E37" s="64">
        <f>(1.83)/100</f>
        <v>0.0183</v>
      </c>
      <c r="F37" s="75">
        <f>E37*F29</f>
        <v>0.5458890000000001</v>
      </c>
      <c r="G37" s="100">
        <f>540/1.18</f>
        <v>457.6271186440678</v>
      </c>
      <c r="H37" s="22">
        <f t="shared" si="0"/>
        <v>249.81361016949157</v>
      </c>
      <c r="I37" s="30"/>
      <c r="J37" s="22">
        <f t="shared" si="1"/>
        <v>0</v>
      </c>
      <c r="K37" s="30">
        <f>G37*0.03</f>
        <v>13.728813559322035</v>
      </c>
      <c r="L37" s="22">
        <f t="shared" si="2"/>
        <v>7.494408305084747</v>
      </c>
      <c r="M37" s="200">
        <f t="shared" si="3"/>
        <v>471.35593220338984</v>
      </c>
      <c r="N37" s="22">
        <f t="shared" si="4"/>
        <v>257.30801847457633</v>
      </c>
      <c r="P37" s="77"/>
    </row>
    <row r="38" spans="1:14" s="91" customFormat="1" ht="31.5">
      <c r="A38" s="88">
        <f>A29+1</f>
        <v>8</v>
      </c>
      <c r="B38" s="2"/>
      <c r="C38" s="11" t="s">
        <v>125</v>
      </c>
      <c r="D38" s="11" t="s">
        <v>50</v>
      </c>
      <c r="E38" s="11"/>
      <c r="F38" s="199">
        <f>9.76</f>
        <v>9.76</v>
      </c>
      <c r="G38" s="24"/>
      <c r="H38" s="22"/>
      <c r="I38" s="89"/>
      <c r="J38" s="22"/>
      <c r="K38" s="24"/>
      <c r="L38" s="22"/>
      <c r="M38" s="200"/>
      <c r="N38" s="90"/>
    </row>
    <row r="39" spans="1:14" s="91" customFormat="1" ht="17.25" customHeight="1">
      <c r="A39" s="89"/>
      <c r="B39" s="2"/>
      <c r="C39" s="12" t="s">
        <v>12</v>
      </c>
      <c r="D39" s="12" t="s">
        <v>49</v>
      </c>
      <c r="E39" s="45">
        <v>1</v>
      </c>
      <c r="F39" s="54">
        <f>F38*E39</f>
        <v>9.76</v>
      </c>
      <c r="G39" s="30">
        <v>0</v>
      </c>
      <c r="H39" s="22">
        <f>G39*F39</f>
        <v>0</v>
      </c>
      <c r="I39" s="92">
        <f>62.5</f>
        <v>62.5</v>
      </c>
      <c r="J39" s="22">
        <f>I39*F39</f>
        <v>610</v>
      </c>
      <c r="K39" s="30">
        <f>G39*0.03</f>
        <v>0</v>
      </c>
      <c r="L39" s="22">
        <f>K39*F39</f>
        <v>0</v>
      </c>
      <c r="M39" s="200">
        <f>G39+I39+K39</f>
        <v>62.5</v>
      </c>
      <c r="N39" s="22">
        <f>L39+J39+H39</f>
        <v>610</v>
      </c>
    </row>
    <row r="40" spans="1:14" s="91" customFormat="1" ht="17.25" customHeight="1">
      <c r="A40" s="89"/>
      <c r="B40" s="2"/>
      <c r="C40" s="94" t="s">
        <v>117</v>
      </c>
      <c r="D40" s="12" t="s">
        <v>49</v>
      </c>
      <c r="E40" s="45">
        <f>101.5/100</f>
        <v>1.015</v>
      </c>
      <c r="F40" s="54">
        <f>F38*E40</f>
        <v>9.9064</v>
      </c>
      <c r="G40" s="30">
        <f>136/1.18</f>
        <v>115.2542372881356</v>
      </c>
      <c r="H40" s="22">
        <f>G40*F40</f>
        <v>1141.7545762711864</v>
      </c>
      <c r="I40" s="93"/>
      <c r="J40" s="22">
        <f>I40*F40</f>
        <v>0</v>
      </c>
      <c r="K40" s="30">
        <f>25</f>
        <v>25</v>
      </c>
      <c r="L40" s="22">
        <f>K40*F40</f>
        <v>247.66</v>
      </c>
      <c r="M40" s="200">
        <f>G40+I40+K40</f>
        <v>140.25423728813558</v>
      </c>
      <c r="N40" s="22">
        <f>L40+J40+H40</f>
        <v>1389.4145762711864</v>
      </c>
    </row>
    <row r="41" spans="1:14" s="19" customFormat="1" ht="17.25" customHeight="1">
      <c r="A41" s="31"/>
      <c r="B41" s="2"/>
      <c r="C41" s="32" t="s">
        <v>48</v>
      </c>
      <c r="D41" s="20" t="s">
        <v>6</v>
      </c>
      <c r="E41" s="64">
        <v>1.03</v>
      </c>
      <c r="F41" s="87">
        <f>(662)*E41/1000</f>
        <v>0.68186</v>
      </c>
      <c r="G41" s="30">
        <f>900*1.75/1.18</f>
        <v>1334.7457627118645</v>
      </c>
      <c r="H41" s="22">
        <f>G41*F41</f>
        <v>910.1097457627119</v>
      </c>
      <c r="I41" s="30"/>
      <c r="J41" s="22">
        <f>I41*F41</f>
        <v>0</v>
      </c>
      <c r="K41" s="30">
        <f>G41*0.03</f>
        <v>40.04237288135593</v>
      </c>
      <c r="L41" s="22">
        <f>K41*F41</f>
        <v>27.303292372881355</v>
      </c>
      <c r="M41" s="200">
        <f>G41+I41+K41</f>
        <v>1374.7881355932204</v>
      </c>
      <c r="N41" s="22">
        <f>L41+J41+H41</f>
        <v>937.4130381355933</v>
      </c>
    </row>
    <row r="42" spans="1:16" s="23" customFormat="1" ht="21" customHeight="1">
      <c r="A42" s="88">
        <f>A38+1</f>
        <v>9</v>
      </c>
      <c r="B42" s="117" t="s">
        <v>123</v>
      </c>
      <c r="C42" s="95" t="s">
        <v>124</v>
      </c>
      <c r="D42" s="95" t="s">
        <v>119</v>
      </c>
      <c r="E42" s="44"/>
      <c r="F42" s="199">
        <f>20.64</f>
        <v>20.64</v>
      </c>
      <c r="G42" s="33"/>
      <c r="H42" s="33"/>
      <c r="I42" s="35"/>
      <c r="J42" s="33"/>
      <c r="K42" s="35"/>
      <c r="L42" s="33"/>
      <c r="M42" s="213"/>
      <c r="N42" s="34"/>
      <c r="P42" s="96"/>
    </row>
    <row r="43" spans="1:16" s="23" customFormat="1" ht="18" customHeight="1">
      <c r="A43" s="33"/>
      <c r="B43" s="9"/>
      <c r="C43" s="89" t="s">
        <v>12</v>
      </c>
      <c r="D43" s="94" t="s">
        <v>120</v>
      </c>
      <c r="E43" s="64">
        <v>1</v>
      </c>
      <c r="F43" s="54">
        <f>F42*E43</f>
        <v>20.64</v>
      </c>
      <c r="G43" s="30">
        <v>0</v>
      </c>
      <c r="H43" s="22">
        <f>G43*F43</f>
        <v>0</v>
      </c>
      <c r="I43" s="93">
        <f>120*1.25</f>
        <v>150</v>
      </c>
      <c r="J43" s="22">
        <f>I43*F43</f>
        <v>3096</v>
      </c>
      <c r="K43" s="92"/>
      <c r="L43" s="22">
        <f>K43*F43</f>
        <v>0</v>
      </c>
      <c r="M43" s="200">
        <f>G43+I43+K43</f>
        <v>150</v>
      </c>
      <c r="N43" s="22">
        <f>L43+J43+H43</f>
        <v>3096</v>
      </c>
      <c r="P43" s="96"/>
    </row>
    <row r="44" spans="1:16" s="23" customFormat="1" ht="17.25" customHeight="1">
      <c r="A44" s="33"/>
      <c r="B44" s="195"/>
      <c r="C44" s="94" t="s">
        <v>117</v>
      </c>
      <c r="D44" s="94" t="s">
        <v>120</v>
      </c>
      <c r="E44" s="45">
        <f>101.5/100</f>
        <v>1.015</v>
      </c>
      <c r="F44" s="75">
        <f>E44*F42</f>
        <v>20.9496</v>
      </c>
      <c r="G44" s="30">
        <f>136/1.18</f>
        <v>115.2542372881356</v>
      </c>
      <c r="H44" s="22">
        <f>G44*F44</f>
        <v>2414.5301694915256</v>
      </c>
      <c r="I44" s="30"/>
      <c r="J44" s="22">
        <f>I44*F44</f>
        <v>0</v>
      </c>
      <c r="K44" s="30">
        <f>25</f>
        <v>25</v>
      </c>
      <c r="L44" s="22">
        <f>K44*F44</f>
        <v>523.74</v>
      </c>
      <c r="M44" s="200">
        <f>G44+I44+K44</f>
        <v>140.25423728813558</v>
      </c>
      <c r="N44" s="22">
        <f>L44+J44+H44</f>
        <v>2938.270169491526</v>
      </c>
      <c r="P44" s="96"/>
    </row>
    <row r="45" spans="1:14" s="19" customFormat="1" ht="17.25" customHeight="1">
      <c r="A45" s="31"/>
      <c r="B45" s="2"/>
      <c r="C45" s="32" t="s">
        <v>48</v>
      </c>
      <c r="D45" s="20" t="s">
        <v>6</v>
      </c>
      <c r="E45" s="64">
        <v>1.03</v>
      </c>
      <c r="F45" s="87">
        <f>(330+240+210)*E45/1000</f>
        <v>0.8034</v>
      </c>
      <c r="G45" s="30">
        <f>900*1.75/1.18</f>
        <v>1334.7457627118645</v>
      </c>
      <c r="H45" s="22">
        <f>G45*F45</f>
        <v>1072.334745762712</v>
      </c>
      <c r="I45" s="30"/>
      <c r="J45" s="22">
        <f>I45*F45</f>
        <v>0</v>
      </c>
      <c r="K45" s="30">
        <f>G45*0.03</f>
        <v>40.04237288135593</v>
      </c>
      <c r="L45" s="22">
        <f>K45*F45</f>
        <v>32.170042372881355</v>
      </c>
      <c r="M45" s="200">
        <f>G45+I45+K45</f>
        <v>1374.7881355932204</v>
      </c>
      <c r="N45" s="22">
        <f>L45+J45+H45</f>
        <v>1104.5047881355933</v>
      </c>
    </row>
    <row r="46" spans="1:16" s="23" customFormat="1" ht="18" customHeight="1">
      <c r="A46" s="33"/>
      <c r="B46" s="9"/>
      <c r="C46" s="89" t="s">
        <v>37</v>
      </c>
      <c r="D46" s="89" t="s">
        <v>122</v>
      </c>
      <c r="E46" s="64">
        <f>1.32</f>
        <v>1.32</v>
      </c>
      <c r="F46" s="204">
        <f>E46*F42</f>
        <v>27.2448</v>
      </c>
      <c r="G46" s="30">
        <f>23/1.18</f>
        <v>19.491525423728813</v>
      </c>
      <c r="H46" s="22">
        <f>G46*F46</f>
        <v>531.0427118644068</v>
      </c>
      <c r="I46" s="30"/>
      <c r="J46" s="22">
        <f>I46*F46</f>
        <v>0</v>
      </c>
      <c r="K46" s="30">
        <f>G46*0.03</f>
        <v>0.5847457627118644</v>
      </c>
      <c r="L46" s="22">
        <f>K46*F46</f>
        <v>15.931281355932205</v>
      </c>
      <c r="M46" s="200">
        <f>G46+I46+K46</f>
        <v>20.076271186440678</v>
      </c>
      <c r="N46" s="22">
        <f>L46+J46+H46</f>
        <v>546.973993220339</v>
      </c>
      <c r="P46" s="96"/>
    </row>
    <row r="47" spans="1:16" s="23" customFormat="1" ht="18" customHeight="1">
      <c r="A47" s="33"/>
      <c r="B47" s="9"/>
      <c r="C47" s="89" t="s">
        <v>32</v>
      </c>
      <c r="D47" s="89" t="s">
        <v>120</v>
      </c>
      <c r="E47" s="64">
        <f>(0.24+2.75)/100</f>
        <v>0.029900000000000003</v>
      </c>
      <c r="F47" s="204">
        <f>F42*E47</f>
        <v>0.6171360000000001</v>
      </c>
      <c r="G47" s="100">
        <f>540/1.18</f>
        <v>457.6271186440678</v>
      </c>
      <c r="H47" s="22">
        <f>G47*F47</f>
        <v>282.4181694915255</v>
      </c>
      <c r="I47" s="30"/>
      <c r="J47" s="22">
        <f>I47*F47</f>
        <v>0</v>
      </c>
      <c r="K47" s="30">
        <f>G47*0.03</f>
        <v>13.728813559322035</v>
      </c>
      <c r="L47" s="22">
        <f>K47*F47</f>
        <v>8.472545084745764</v>
      </c>
      <c r="M47" s="200">
        <f>G47+I47+K47</f>
        <v>471.35593220338984</v>
      </c>
      <c r="N47" s="22">
        <f>L47+J47+H47</f>
        <v>290.89071457627125</v>
      </c>
      <c r="P47" s="96"/>
    </row>
    <row r="48" spans="1:15" s="50" customFormat="1" ht="31.5">
      <c r="A48" s="59">
        <f>A42+1</f>
        <v>10</v>
      </c>
      <c r="B48" s="117" t="s">
        <v>15</v>
      </c>
      <c r="C48" s="11" t="s">
        <v>186</v>
      </c>
      <c r="D48" s="11" t="s">
        <v>153</v>
      </c>
      <c r="E48" s="44"/>
      <c r="F48" s="199">
        <v>180</v>
      </c>
      <c r="G48" s="49"/>
      <c r="H48" s="49"/>
      <c r="I48" s="49"/>
      <c r="J48" s="44"/>
      <c r="K48" s="11"/>
      <c r="L48" s="11"/>
      <c r="M48" s="214"/>
      <c r="N48" s="11"/>
      <c r="O48" s="55"/>
    </row>
    <row r="49" spans="1:14" s="52" customFormat="1" ht="17.25" customHeight="1">
      <c r="A49" s="32"/>
      <c r="B49" s="2"/>
      <c r="C49" s="12" t="s">
        <v>12</v>
      </c>
      <c r="D49" s="31" t="s">
        <v>49</v>
      </c>
      <c r="E49" s="64">
        <v>1</v>
      </c>
      <c r="F49" s="75">
        <f>E49*F48</f>
        <v>180</v>
      </c>
      <c r="G49" s="30">
        <v>0</v>
      </c>
      <c r="H49" s="22">
        <f>G49*F49</f>
        <v>0</v>
      </c>
      <c r="I49" s="12">
        <v>2.5</v>
      </c>
      <c r="J49" s="22">
        <f>I49*F49</f>
        <v>450</v>
      </c>
      <c r="K49" s="30">
        <f>G49*0.03</f>
        <v>0</v>
      </c>
      <c r="L49" s="22">
        <f>K49*F49</f>
        <v>0</v>
      </c>
      <c r="M49" s="200">
        <f>G49+I49+K49</f>
        <v>2.5</v>
      </c>
      <c r="N49" s="22">
        <f>L49+J49+H49</f>
        <v>450</v>
      </c>
    </row>
    <row r="50" spans="1:14" s="19" customFormat="1" ht="17.25" customHeight="1">
      <c r="A50" s="31"/>
      <c r="B50" s="10"/>
      <c r="C50" s="32" t="s">
        <v>51</v>
      </c>
      <c r="D50" s="20" t="s">
        <v>81</v>
      </c>
      <c r="E50" s="64">
        <v>0.25</v>
      </c>
      <c r="F50" s="56">
        <f>E50*F48</f>
        <v>45</v>
      </c>
      <c r="G50" s="30">
        <v>2.4</v>
      </c>
      <c r="H50" s="22">
        <f>G50*F50</f>
        <v>108</v>
      </c>
      <c r="I50" s="30"/>
      <c r="J50" s="22">
        <f>I50*F50</f>
        <v>0</v>
      </c>
      <c r="K50" s="30">
        <f>G50*0.03</f>
        <v>0.072</v>
      </c>
      <c r="L50" s="22">
        <f>K50*F50</f>
        <v>3.2399999999999998</v>
      </c>
      <c r="M50" s="200">
        <f>G50+I50+K50</f>
        <v>2.472</v>
      </c>
      <c r="N50" s="22">
        <f>L50+J50+H50</f>
        <v>111.24</v>
      </c>
    </row>
    <row r="51" spans="1:14" s="19" customFormat="1" ht="17.25" customHeight="1">
      <c r="A51" s="31"/>
      <c r="B51" s="2"/>
      <c r="C51" s="32" t="s">
        <v>86</v>
      </c>
      <c r="D51" s="31" t="s">
        <v>192</v>
      </c>
      <c r="E51" s="64">
        <v>1.23</v>
      </c>
      <c r="F51" s="56">
        <f>E51*F48</f>
        <v>221.4</v>
      </c>
      <c r="G51" s="30">
        <f>60/10/1.18</f>
        <v>5.084745762711865</v>
      </c>
      <c r="H51" s="22">
        <f>G51*F51</f>
        <v>1125.762711864407</v>
      </c>
      <c r="I51" s="30"/>
      <c r="J51" s="22">
        <f>I51*F51</f>
        <v>0</v>
      </c>
      <c r="K51" s="30">
        <f>G51*0.03</f>
        <v>0.15254237288135594</v>
      </c>
      <c r="L51" s="22">
        <f>K51*F51</f>
        <v>33.772881355932206</v>
      </c>
      <c r="M51" s="200">
        <f>G51+I51+K51</f>
        <v>5.237288135593221</v>
      </c>
      <c r="N51" s="22">
        <f>L51+J51+H51</f>
        <v>1159.5355932203393</v>
      </c>
    </row>
    <row r="52" spans="1:14" s="19" customFormat="1" ht="17.25" customHeight="1">
      <c r="A52" s="31"/>
      <c r="B52" s="10"/>
      <c r="C52" s="32" t="s">
        <v>87</v>
      </c>
      <c r="D52" s="20" t="s">
        <v>81</v>
      </c>
      <c r="E52" s="64">
        <v>0.4</v>
      </c>
      <c r="F52" s="56">
        <f>E52*F48</f>
        <v>72</v>
      </c>
      <c r="G52" s="30">
        <v>3</v>
      </c>
      <c r="H52" s="22">
        <f>G52*F52</f>
        <v>216</v>
      </c>
      <c r="I52" s="30"/>
      <c r="J52" s="22">
        <f>I52*F52</f>
        <v>0</v>
      </c>
      <c r="K52" s="30">
        <f>G52*0.03</f>
        <v>0.09</v>
      </c>
      <c r="L52" s="22">
        <f>K52*F52</f>
        <v>6.4799999999999995</v>
      </c>
      <c r="M52" s="200">
        <f>G52+I52+K52</f>
        <v>3.09</v>
      </c>
      <c r="N52" s="22">
        <f>L52+J52+H52</f>
        <v>222.48</v>
      </c>
    </row>
    <row r="53" spans="1:14" s="16" customFormat="1" ht="24" customHeight="1">
      <c r="A53" s="59">
        <f>A48+1</f>
        <v>11</v>
      </c>
      <c r="B53" s="80" t="s">
        <v>127</v>
      </c>
      <c r="C53" s="14" t="s">
        <v>126</v>
      </c>
      <c r="D53" s="14" t="s">
        <v>6</v>
      </c>
      <c r="E53" s="30"/>
      <c r="F53" s="199">
        <f>SUM(F55:F59)</f>
        <v>4.914130000000001</v>
      </c>
      <c r="G53" s="36"/>
      <c r="H53" s="36"/>
      <c r="I53" s="36"/>
      <c r="J53" s="49"/>
      <c r="K53" s="36"/>
      <c r="L53" s="49"/>
      <c r="M53" s="212"/>
      <c r="N53" s="22"/>
    </row>
    <row r="54" spans="1:14" s="52" customFormat="1" ht="17.25" customHeight="1">
      <c r="A54" s="32"/>
      <c r="B54" s="2"/>
      <c r="C54" s="12" t="s">
        <v>12</v>
      </c>
      <c r="D54" s="20" t="s">
        <v>6</v>
      </c>
      <c r="E54" s="45">
        <v>1</v>
      </c>
      <c r="F54" s="69">
        <f>F53*E54</f>
        <v>4.914130000000001</v>
      </c>
      <c r="G54" s="30">
        <v>0</v>
      </c>
      <c r="H54" s="22">
        <f aca="true" t="shared" si="5" ref="H54:H62">G54*F54</f>
        <v>0</v>
      </c>
      <c r="I54" s="61">
        <f>600*1.25</f>
        <v>750</v>
      </c>
      <c r="J54" s="22">
        <f aca="true" t="shared" si="6" ref="J54:J62">I54*F54</f>
        <v>3685.5975000000008</v>
      </c>
      <c r="K54" s="30">
        <f aca="true" t="shared" si="7" ref="K54:K61">G54*0.03</f>
        <v>0</v>
      </c>
      <c r="L54" s="22">
        <f aca="true" t="shared" si="8" ref="L54:L62">K54*F54</f>
        <v>0</v>
      </c>
      <c r="M54" s="200">
        <f aca="true" t="shared" si="9" ref="M54:M62">G54+I54+K54</f>
        <v>750</v>
      </c>
      <c r="N54" s="22">
        <f aca="true" t="shared" si="10" ref="N54:N62">L54+J54+H54</f>
        <v>3685.5975000000008</v>
      </c>
    </row>
    <row r="55" spans="1:14" s="41" customFormat="1" ht="18" customHeight="1">
      <c r="A55" s="14"/>
      <c r="B55" s="2"/>
      <c r="C55" s="20" t="s">
        <v>128</v>
      </c>
      <c r="D55" s="20" t="s">
        <v>6</v>
      </c>
      <c r="E55" s="64">
        <v>1.03</v>
      </c>
      <c r="F55" s="102">
        <f>470/1000*E55</f>
        <v>0.4841</v>
      </c>
      <c r="G55" s="30">
        <f>2700/1.18</f>
        <v>2288.135593220339</v>
      </c>
      <c r="H55" s="22">
        <f t="shared" si="5"/>
        <v>1107.6864406779662</v>
      </c>
      <c r="I55" s="12"/>
      <c r="J55" s="22">
        <f t="shared" si="6"/>
        <v>0</v>
      </c>
      <c r="K55" s="30">
        <f t="shared" si="7"/>
        <v>68.64406779661017</v>
      </c>
      <c r="L55" s="22">
        <f t="shared" si="8"/>
        <v>33.23059322033898</v>
      </c>
      <c r="M55" s="200">
        <f t="shared" si="9"/>
        <v>2356.7796610169494</v>
      </c>
      <c r="N55" s="22">
        <f t="shared" si="10"/>
        <v>1140.9170338983051</v>
      </c>
    </row>
    <row r="56" spans="1:14" s="41" customFormat="1" ht="18" customHeight="1">
      <c r="A56" s="14"/>
      <c r="B56" s="2"/>
      <c r="C56" s="20" t="s">
        <v>129</v>
      </c>
      <c r="D56" s="20" t="s">
        <v>6</v>
      </c>
      <c r="E56" s="64">
        <v>1.03</v>
      </c>
      <c r="F56" s="102">
        <f>693/1000*E56</f>
        <v>0.7137899999999999</v>
      </c>
      <c r="G56" s="30">
        <f>2700/1.18</f>
        <v>2288.135593220339</v>
      </c>
      <c r="H56" s="22">
        <f t="shared" si="5"/>
        <v>1633.2483050847457</v>
      </c>
      <c r="I56" s="12"/>
      <c r="J56" s="22">
        <f t="shared" si="6"/>
        <v>0</v>
      </c>
      <c r="K56" s="30">
        <f t="shared" si="7"/>
        <v>68.64406779661017</v>
      </c>
      <c r="L56" s="22">
        <f t="shared" si="8"/>
        <v>48.99744915254237</v>
      </c>
      <c r="M56" s="200">
        <f t="shared" si="9"/>
        <v>2356.7796610169494</v>
      </c>
      <c r="N56" s="22">
        <f t="shared" si="10"/>
        <v>1682.245754237288</v>
      </c>
    </row>
    <row r="57" spans="1:14" s="41" customFormat="1" ht="18" customHeight="1">
      <c r="A57" s="14"/>
      <c r="B57" s="2"/>
      <c r="C57" s="20" t="s">
        <v>193</v>
      </c>
      <c r="D57" s="20" t="s">
        <v>6</v>
      </c>
      <c r="E57" s="64">
        <v>1.03</v>
      </c>
      <c r="F57" s="102">
        <f>3024/1000*E57</f>
        <v>3.11472</v>
      </c>
      <c r="G57" s="30">
        <f>2500/1.18</f>
        <v>2118.64406779661</v>
      </c>
      <c r="H57" s="22">
        <f t="shared" si="5"/>
        <v>6598.983050847458</v>
      </c>
      <c r="I57" s="12"/>
      <c r="J57" s="22">
        <f t="shared" si="6"/>
        <v>0</v>
      </c>
      <c r="K57" s="30">
        <f t="shared" si="7"/>
        <v>63.559322033898304</v>
      </c>
      <c r="L57" s="22">
        <f t="shared" si="8"/>
        <v>197.96949152542373</v>
      </c>
      <c r="M57" s="200">
        <f t="shared" si="9"/>
        <v>2182.2033898305085</v>
      </c>
      <c r="N57" s="22">
        <f t="shared" si="10"/>
        <v>6796.952542372882</v>
      </c>
    </row>
    <row r="58" spans="1:14" s="41" customFormat="1" ht="15.75">
      <c r="A58" s="14"/>
      <c r="B58" s="2"/>
      <c r="C58" s="20" t="s">
        <v>130</v>
      </c>
      <c r="D58" s="20" t="s">
        <v>6</v>
      </c>
      <c r="E58" s="64">
        <v>1.03</v>
      </c>
      <c r="F58" s="87">
        <f>(220)*E58/1000</f>
        <v>0.2266</v>
      </c>
      <c r="G58" s="30">
        <f>2250/1.18</f>
        <v>1906.7796610169491</v>
      </c>
      <c r="H58" s="22">
        <f t="shared" si="5"/>
        <v>432.0762711864407</v>
      </c>
      <c r="I58" s="30"/>
      <c r="J58" s="22">
        <f t="shared" si="6"/>
        <v>0</v>
      </c>
      <c r="K58" s="30">
        <f t="shared" si="7"/>
        <v>57.20338983050847</v>
      </c>
      <c r="L58" s="22">
        <f t="shared" si="8"/>
        <v>12.96228813559322</v>
      </c>
      <c r="M58" s="200">
        <f t="shared" si="9"/>
        <v>1963.9830508474577</v>
      </c>
      <c r="N58" s="22">
        <f t="shared" si="10"/>
        <v>445.0385593220339</v>
      </c>
    </row>
    <row r="59" spans="1:14" s="41" customFormat="1" ht="15.75">
      <c r="A59" s="14"/>
      <c r="B59" s="2"/>
      <c r="C59" s="20" t="s">
        <v>78</v>
      </c>
      <c r="D59" s="20" t="s">
        <v>6</v>
      </c>
      <c r="E59" s="64">
        <v>1.03</v>
      </c>
      <c r="F59" s="87">
        <f>(64+300)*E59/1000</f>
        <v>0.37492000000000003</v>
      </c>
      <c r="G59" s="30">
        <f>2250/1.18</f>
        <v>1906.7796610169491</v>
      </c>
      <c r="H59" s="22">
        <f t="shared" si="5"/>
        <v>714.8898305084747</v>
      </c>
      <c r="I59" s="30"/>
      <c r="J59" s="22">
        <f t="shared" si="6"/>
        <v>0</v>
      </c>
      <c r="K59" s="30">
        <f t="shared" si="7"/>
        <v>57.20338983050847</v>
      </c>
      <c r="L59" s="22">
        <f t="shared" si="8"/>
        <v>21.446694915254238</v>
      </c>
      <c r="M59" s="200">
        <f t="shared" si="9"/>
        <v>1963.9830508474577</v>
      </c>
      <c r="N59" s="22">
        <f t="shared" si="10"/>
        <v>736.336525423729</v>
      </c>
    </row>
    <row r="60" spans="1:16" s="23" customFormat="1" ht="18" customHeight="1">
      <c r="A60" s="33"/>
      <c r="B60" s="9"/>
      <c r="C60" s="32" t="s">
        <v>34</v>
      </c>
      <c r="D60" s="32" t="s">
        <v>81</v>
      </c>
      <c r="E60" s="64">
        <v>2</v>
      </c>
      <c r="F60" s="69">
        <f>E60*F53</f>
        <v>9.828260000000002</v>
      </c>
      <c r="G60" s="30">
        <f>16/1.18/5</f>
        <v>2.7118644067796613</v>
      </c>
      <c r="H60" s="22">
        <f t="shared" si="5"/>
        <v>26.65290847457628</v>
      </c>
      <c r="I60" s="30"/>
      <c r="J60" s="22">
        <f t="shared" si="6"/>
        <v>0</v>
      </c>
      <c r="K60" s="30">
        <f t="shared" si="7"/>
        <v>0.08135593220338984</v>
      </c>
      <c r="L60" s="22">
        <f t="shared" si="8"/>
        <v>0.7995872542372884</v>
      </c>
      <c r="M60" s="200">
        <f t="shared" si="9"/>
        <v>2.793220338983051</v>
      </c>
      <c r="N60" s="22">
        <f t="shared" si="10"/>
        <v>27.452495728813567</v>
      </c>
      <c r="P60" s="77"/>
    </row>
    <row r="61" spans="1:16" s="23" customFormat="1" ht="18" customHeight="1">
      <c r="A61" s="33"/>
      <c r="B61" s="9"/>
      <c r="C61" s="32" t="s">
        <v>85</v>
      </c>
      <c r="D61" s="20" t="s">
        <v>10</v>
      </c>
      <c r="E61" s="64">
        <v>18</v>
      </c>
      <c r="F61" s="54">
        <f>E61*F53</f>
        <v>88.45434000000002</v>
      </c>
      <c r="G61" s="30">
        <f>10/1.18</f>
        <v>8.474576271186441</v>
      </c>
      <c r="H61" s="22">
        <f t="shared" si="5"/>
        <v>749.6130508474578</v>
      </c>
      <c r="I61" s="30"/>
      <c r="J61" s="22">
        <f t="shared" si="6"/>
        <v>0</v>
      </c>
      <c r="K61" s="30">
        <f t="shared" si="7"/>
        <v>0.2542372881355932</v>
      </c>
      <c r="L61" s="22">
        <f t="shared" si="8"/>
        <v>22.488391525423733</v>
      </c>
      <c r="M61" s="200">
        <f t="shared" si="9"/>
        <v>8.728813559322035</v>
      </c>
      <c r="N61" s="22">
        <f t="shared" si="10"/>
        <v>772.1014423728815</v>
      </c>
      <c r="P61" s="77"/>
    </row>
    <row r="62" spans="1:16" s="23" customFormat="1" ht="17.25" customHeight="1">
      <c r="A62" s="33"/>
      <c r="B62" s="195"/>
      <c r="C62" s="32" t="s">
        <v>131</v>
      </c>
      <c r="D62" s="9" t="s">
        <v>80</v>
      </c>
      <c r="E62" s="64">
        <f>0.6+0.75</f>
        <v>1.35</v>
      </c>
      <c r="F62" s="54">
        <f>F53*E62</f>
        <v>6.634075500000002</v>
      </c>
      <c r="G62" s="30">
        <v>0</v>
      </c>
      <c r="H62" s="22">
        <f t="shared" si="5"/>
        <v>0</v>
      </c>
      <c r="I62" s="30"/>
      <c r="J62" s="22">
        <f t="shared" si="6"/>
        <v>0</v>
      </c>
      <c r="K62" s="30">
        <f>450/8</f>
        <v>56.25</v>
      </c>
      <c r="L62" s="22">
        <f t="shared" si="8"/>
        <v>373.1667468750001</v>
      </c>
      <c r="M62" s="200">
        <f t="shared" si="9"/>
        <v>56.25</v>
      </c>
      <c r="N62" s="22">
        <f t="shared" si="10"/>
        <v>373.1667468750001</v>
      </c>
      <c r="P62" s="77"/>
    </row>
    <row r="63" spans="1:16" s="23" customFormat="1" ht="33" customHeight="1">
      <c r="A63" s="88">
        <f>A53+1</f>
        <v>12</v>
      </c>
      <c r="B63" s="117" t="s">
        <v>132</v>
      </c>
      <c r="C63" s="95" t="s">
        <v>134</v>
      </c>
      <c r="D63" s="95" t="s">
        <v>119</v>
      </c>
      <c r="E63" s="44"/>
      <c r="F63" s="203">
        <f>0.54*9+0.62*13+0.78*5+0.24*3+0.4*6</f>
        <v>19.939999999999998</v>
      </c>
      <c r="G63" s="33"/>
      <c r="H63" s="33"/>
      <c r="I63" s="35"/>
      <c r="J63" s="33"/>
      <c r="K63" s="35"/>
      <c r="L63" s="33"/>
      <c r="M63" s="213"/>
      <c r="N63" s="34"/>
      <c r="P63" s="96"/>
    </row>
    <row r="64" spans="1:16" s="23" customFormat="1" ht="17.25" customHeight="1">
      <c r="A64" s="33"/>
      <c r="B64" s="195"/>
      <c r="C64" s="89" t="s">
        <v>12</v>
      </c>
      <c r="D64" s="94" t="s">
        <v>120</v>
      </c>
      <c r="E64" s="64">
        <v>1</v>
      </c>
      <c r="F64" s="204">
        <f>F63*E64</f>
        <v>19.939999999999998</v>
      </c>
      <c r="G64" s="30">
        <v>0</v>
      </c>
      <c r="H64" s="22">
        <f aca="true" t="shared" si="11" ref="H64:H70">G64*F64</f>
        <v>0</v>
      </c>
      <c r="I64" s="93">
        <f>60*1.25</f>
        <v>75</v>
      </c>
      <c r="J64" s="22">
        <f aca="true" t="shared" si="12" ref="J64:J70">I64*F64</f>
        <v>1495.4999999999998</v>
      </c>
      <c r="K64" s="30">
        <f>G64*0.03</f>
        <v>0</v>
      </c>
      <c r="L64" s="22">
        <f aca="true" t="shared" si="13" ref="L64:L70">K64*F64</f>
        <v>0</v>
      </c>
      <c r="M64" s="200">
        <f aca="true" t="shared" si="14" ref="M64:M70">G64+I64+K64</f>
        <v>75</v>
      </c>
      <c r="N64" s="22">
        <f aca="true" t="shared" si="15" ref="N64:N70">L64+J64+H64</f>
        <v>1495.4999999999998</v>
      </c>
      <c r="P64" s="96"/>
    </row>
    <row r="65" spans="1:16" s="23" customFormat="1" ht="17.25" customHeight="1">
      <c r="A65" s="33"/>
      <c r="B65" s="195"/>
      <c r="C65" s="94" t="s">
        <v>117</v>
      </c>
      <c r="D65" s="94" t="s">
        <v>120</v>
      </c>
      <c r="E65" s="45">
        <f>101.5/100</f>
        <v>1.015</v>
      </c>
      <c r="F65" s="75">
        <f>E65*F63</f>
        <v>20.239099999999997</v>
      </c>
      <c r="G65" s="30">
        <f>136/1.18</f>
        <v>115.2542372881356</v>
      </c>
      <c r="H65" s="22">
        <f t="shared" si="11"/>
        <v>2332.642033898305</v>
      </c>
      <c r="I65" s="30"/>
      <c r="J65" s="22">
        <f t="shared" si="12"/>
        <v>0</v>
      </c>
      <c r="K65" s="30">
        <f>25</f>
        <v>25</v>
      </c>
      <c r="L65" s="22">
        <f t="shared" si="13"/>
        <v>505.9774999999999</v>
      </c>
      <c r="M65" s="200">
        <f t="shared" si="14"/>
        <v>140.25423728813558</v>
      </c>
      <c r="N65" s="22">
        <f t="shared" si="15"/>
        <v>2838.619533898305</v>
      </c>
      <c r="P65" s="96"/>
    </row>
    <row r="66" spans="1:14" s="19" customFormat="1" ht="17.25" customHeight="1">
      <c r="A66" s="31"/>
      <c r="B66" s="2"/>
      <c r="C66" s="32" t="s">
        <v>48</v>
      </c>
      <c r="D66" s="20" t="s">
        <v>6</v>
      </c>
      <c r="E66" s="64">
        <v>1.03</v>
      </c>
      <c r="F66" s="87">
        <f>((54+39)*9+(38+31)*13+(48+39)*5+(32+21)*3+(44+31)*6)*E66/1000</f>
        <v>2.86134</v>
      </c>
      <c r="G66" s="30">
        <f>900*1.75/1.18</f>
        <v>1334.7457627118645</v>
      </c>
      <c r="H66" s="22">
        <f t="shared" si="11"/>
        <v>3819.1614406779668</v>
      </c>
      <c r="I66" s="30"/>
      <c r="J66" s="22">
        <f t="shared" si="12"/>
        <v>0</v>
      </c>
      <c r="K66" s="30">
        <f>G66*0.03</f>
        <v>40.04237288135593</v>
      </c>
      <c r="L66" s="22">
        <f t="shared" si="13"/>
        <v>114.57484322033899</v>
      </c>
      <c r="M66" s="200">
        <f t="shared" si="14"/>
        <v>1374.7881355932204</v>
      </c>
      <c r="N66" s="22">
        <f t="shared" si="15"/>
        <v>3933.736283898306</v>
      </c>
    </row>
    <row r="67" spans="1:14" s="99" customFormat="1" ht="17.25" customHeight="1">
      <c r="A67" s="98"/>
      <c r="B67" s="10"/>
      <c r="C67" s="89" t="s">
        <v>121</v>
      </c>
      <c r="D67" s="20" t="s">
        <v>6</v>
      </c>
      <c r="E67" s="64">
        <v>1.03</v>
      </c>
      <c r="F67" s="87">
        <f>(16*9+17*13+20*5+9*3+13*6)*E67/1000</f>
        <v>0.5871000000000001</v>
      </c>
      <c r="G67" s="30">
        <f>920*1.75/1.18</f>
        <v>1364.406779661017</v>
      </c>
      <c r="H67" s="22">
        <f t="shared" si="11"/>
        <v>801.0432203389831</v>
      </c>
      <c r="I67" s="30"/>
      <c r="J67" s="22">
        <f t="shared" si="12"/>
        <v>0</v>
      </c>
      <c r="K67" s="30">
        <f>G67*0.03</f>
        <v>40.93220338983051</v>
      </c>
      <c r="L67" s="22">
        <f t="shared" si="13"/>
        <v>24.031296610169495</v>
      </c>
      <c r="M67" s="200">
        <f t="shared" si="14"/>
        <v>1405.3389830508474</v>
      </c>
      <c r="N67" s="22">
        <f t="shared" si="15"/>
        <v>825.0745169491527</v>
      </c>
    </row>
    <row r="68" spans="1:16" s="23" customFormat="1" ht="17.25" customHeight="1">
      <c r="A68" s="33"/>
      <c r="B68" s="195"/>
      <c r="C68" s="89" t="s">
        <v>37</v>
      </c>
      <c r="D68" s="94" t="s">
        <v>122</v>
      </c>
      <c r="E68" s="45">
        <f>170*0.5/100</f>
        <v>0.85</v>
      </c>
      <c r="F68" s="204">
        <f>F63*E68</f>
        <v>16.948999999999998</v>
      </c>
      <c r="G68" s="100">
        <f>23/1.18</f>
        <v>19.491525423728813</v>
      </c>
      <c r="H68" s="22">
        <f t="shared" si="11"/>
        <v>330.3618644067796</v>
      </c>
      <c r="I68" s="100"/>
      <c r="J68" s="22">
        <f t="shared" si="12"/>
        <v>0</v>
      </c>
      <c r="K68" s="30">
        <f>G68*0.03</f>
        <v>0.5847457627118644</v>
      </c>
      <c r="L68" s="22">
        <f t="shared" si="13"/>
        <v>9.910855932203388</v>
      </c>
      <c r="M68" s="200">
        <f t="shared" si="14"/>
        <v>20.076271186440678</v>
      </c>
      <c r="N68" s="22">
        <f t="shared" si="15"/>
        <v>340.272720338983</v>
      </c>
      <c r="P68" s="96"/>
    </row>
    <row r="69" spans="1:16" s="23" customFormat="1" ht="17.25" customHeight="1">
      <c r="A69" s="33"/>
      <c r="B69" s="195"/>
      <c r="C69" s="89" t="s">
        <v>32</v>
      </c>
      <c r="D69" s="89" t="s">
        <v>120</v>
      </c>
      <c r="E69" s="64">
        <f>(5.81+0.67)/100</f>
        <v>0.0648</v>
      </c>
      <c r="F69" s="204">
        <f>E69*F63</f>
        <v>1.2921119999999997</v>
      </c>
      <c r="G69" s="100">
        <f>540/1.18</f>
        <v>457.6271186440678</v>
      </c>
      <c r="H69" s="22">
        <f t="shared" si="11"/>
        <v>591.3054915254236</v>
      </c>
      <c r="I69" s="100"/>
      <c r="J69" s="22">
        <f t="shared" si="12"/>
        <v>0</v>
      </c>
      <c r="K69" s="30">
        <f>G69*0.03</f>
        <v>13.728813559322035</v>
      </c>
      <c r="L69" s="22">
        <f t="shared" si="13"/>
        <v>17.739164745762707</v>
      </c>
      <c r="M69" s="200">
        <f t="shared" si="14"/>
        <v>471.35593220338984</v>
      </c>
      <c r="N69" s="22">
        <f t="shared" si="15"/>
        <v>609.0446562711863</v>
      </c>
      <c r="P69" s="96"/>
    </row>
    <row r="70" spans="1:16" s="23" customFormat="1" ht="17.25" customHeight="1">
      <c r="A70" s="33"/>
      <c r="B70" s="195"/>
      <c r="C70" s="89" t="s">
        <v>34</v>
      </c>
      <c r="D70" s="89" t="s">
        <v>6</v>
      </c>
      <c r="E70" s="64">
        <v>0.15</v>
      </c>
      <c r="F70" s="204">
        <f>F63*E70</f>
        <v>2.9909999999999997</v>
      </c>
      <c r="G70" s="100">
        <f>16/1.18/5</f>
        <v>2.7118644067796613</v>
      </c>
      <c r="H70" s="22">
        <f t="shared" si="11"/>
        <v>8.111186440677967</v>
      </c>
      <c r="I70" s="100"/>
      <c r="J70" s="22">
        <f t="shared" si="12"/>
        <v>0</v>
      </c>
      <c r="K70" s="30">
        <f>G70*0.03</f>
        <v>0.08135593220338984</v>
      </c>
      <c r="L70" s="22">
        <f t="shared" si="13"/>
        <v>0.24333559322033899</v>
      </c>
      <c r="M70" s="200">
        <f t="shared" si="14"/>
        <v>2.793220338983051</v>
      </c>
      <c r="N70" s="22">
        <f t="shared" si="15"/>
        <v>8.354522033898306</v>
      </c>
      <c r="P70" s="96"/>
    </row>
    <row r="71" spans="1:14" s="16" customFormat="1" ht="33" customHeight="1">
      <c r="A71" s="59">
        <f>A63+1</f>
        <v>13</v>
      </c>
      <c r="B71" s="80" t="s">
        <v>94</v>
      </c>
      <c r="C71" s="14" t="s">
        <v>194</v>
      </c>
      <c r="D71" s="14" t="s">
        <v>6</v>
      </c>
      <c r="E71" s="30"/>
      <c r="F71" s="199">
        <f>SUM(F73:F74)</f>
        <v>0.5582600000000001</v>
      </c>
      <c r="G71" s="36"/>
      <c r="H71" s="36"/>
      <c r="I71" s="36"/>
      <c r="J71" s="49"/>
      <c r="K71" s="36"/>
      <c r="L71" s="49"/>
      <c r="M71" s="212"/>
      <c r="N71" s="22"/>
    </row>
    <row r="72" spans="1:14" s="52" customFormat="1" ht="17.25" customHeight="1">
      <c r="A72" s="32"/>
      <c r="B72" s="2"/>
      <c r="C72" s="12" t="s">
        <v>12</v>
      </c>
      <c r="D72" s="20" t="s">
        <v>6</v>
      </c>
      <c r="E72" s="45">
        <v>1</v>
      </c>
      <c r="F72" s="69">
        <f>F71*E72</f>
        <v>0.5582600000000001</v>
      </c>
      <c r="G72" s="30">
        <v>0</v>
      </c>
      <c r="H72" s="22">
        <f>G72*F72</f>
        <v>0</v>
      </c>
      <c r="I72" s="61">
        <v>250</v>
      </c>
      <c r="J72" s="22">
        <f>I72*F72</f>
        <v>139.56500000000003</v>
      </c>
      <c r="K72" s="30">
        <f>G72*0.03</f>
        <v>0</v>
      </c>
      <c r="L72" s="22">
        <f>K72*F72</f>
        <v>0</v>
      </c>
      <c r="M72" s="200">
        <f>G72+I72+K72</f>
        <v>250</v>
      </c>
      <c r="N72" s="22">
        <f>L72+J72+H72</f>
        <v>139.56500000000003</v>
      </c>
    </row>
    <row r="73" spans="1:14" s="19" customFormat="1" ht="17.25" customHeight="1">
      <c r="A73" s="31"/>
      <c r="B73" s="2"/>
      <c r="C73" s="32" t="s">
        <v>48</v>
      </c>
      <c r="D73" s="20" t="s">
        <v>6</v>
      </c>
      <c r="E73" s="64">
        <v>1.03</v>
      </c>
      <c r="F73" s="87">
        <f>(2*14+3)*E73/1000</f>
        <v>0.03193</v>
      </c>
      <c r="G73" s="30">
        <f>900*1.75/1.18</f>
        <v>1334.7457627118645</v>
      </c>
      <c r="H73" s="22">
        <f>G73*F73</f>
        <v>42.61843220338983</v>
      </c>
      <c r="I73" s="30"/>
      <c r="J73" s="22">
        <f>I73*F73</f>
        <v>0</v>
      </c>
      <c r="K73" s="30">
        <f>G73*0.03</f>
        <v>40.04237288135593</v>
      </c>
      <c r="L73" s="22">
        <f>K73*F73</f>
        <v>1.2785529661016948</v>
      </c>
      <c r="M73" s="200">
        <f>G73+I73+K73</f>
        <v>1374.7881355932204</v>
      </c>
      <c r="N73" s="22">
        <f>L73+J73+H73</f>
        <v>43.89698516949152</v>
      </c>
    </row>
    <row r="74" spans="1:14" s="41" customFormat="1" ht="15.75">
      <c r="A74" s="14"/>
      <c r="B74" s="2"/>
      <c r="C74" s="20" t="s">
        <v>79</v>
      </c>
      <c r="D74" s="20" t="s">
        <v>6</v>
      </c>
      <c r="E74" s="64">
        <v>1.03</v>
      </c>
      <c r="F74" s="87">
        <f>(36*14+7)*E74/1000</f>
        <v>0.5263300000000001</v>
      </c>
      <c r="G74" s="30">
        <f>2250/1.18</f>
        <v>1906.7796610169491</v>
      </c>
      <c r="H74" s="22">
        <f>G74*F74</f>
        <v>1003.595338983051</v>
      </c>
      <c r="I74" s="30"/>
      <c r="J74" s="22">
        <f>I74*F74</f>
        <v>0</v>
      </c>
      <c r="K74" s="30">
        <f>G74*0.03</f>
        <v>57.20338983050847</v>
      </c>
      <c r="L74" s="22">
        <f>K74*F74</f>
        <v>30.107860169491527</v>
      </c>
      <c r="M74" s="200">
        <f>G74+I74+K74</f>
        <v>1963.9830508474577</v>
      </c>
      <c r="N74" s="22">
        <f>L74+J74+H74</f>
        <v>1033.7031991525425</v>
      </c>
    </row>
    <row r="75" spans="1:16" s="23" customFormat="1" ht="18" customHeight="1">
      <c r="A75" s="33"/>
      <c r="B75" s="9"/>
      <c r="C75" s="32" t="s">
        <v>34</v>
      </c>
      <c r="D75" s="32" t="s">
        <v>6</v>
      </c>
      <c r="E75" s="65">
        <f>0.33/10/4</f>
        <v>0.00825</v>
      </c>
      <c r="F75" s="69">
        <f>E75*F71</f>
        <v>0.004605645000000001</v>
      </c>
      <c r="G75" s="30">
        <f>16/1.18/5*1000</f>
        <v>2711.8644067796613</v>
      </c>
      <c r="H75" s="22">
        <f>G75*F75</f>
        <v>12.489884745762716</v>
      </c>
      <c r="I75" s="30"/>
      <c r="J75" s="22">
        <f>I75*F75</f>
        <v>0</v>
      </c>
      <c r="K75" s="30">
        <f>G75*0.03</f>
        <v>81.35593220338984</v>
      </c>
      <c r="L75" s="22">
        <f>K75*F75</f>
        <v>0.37469654237288147</v>
      </c>
      <c r="M75" s="200">
        <f>G75+I75+K75</f>
        <v>2793.220338983051</v>
      </c>
      <c r="N75" s="22">
        <f>L75+J75+H75</f>
        <v>12.864581288135597</v>
      </c>
      <c r="P75" s="77"/>
    </row>
    <row r="76" spans="1:16" s="23" customFormat="1" ht="18" customHeight="1">
      <c r="A76" s="33"/>
      <c r="B76" s="9"/>
      <c r="C76" s="32" t="s">
        <v>85</v>
      </c>
      <c r="D76" s="20" t="s">
        <v>10</v>
      </c>
      <c r="E76" s="64">
        <v>18</v>
      </c>
      <c r="F76" s="54">
        <f>E76*F71</f>
        <v>10.048680000000001</v>
      </c>
      <c r="G76" s="30">
        <f>10/1.18</f>
        <v>8.474576271186441</v>
      </c>
      <c r="H76" s="22">
        <f>G76*F76</f>
        <v>85.15830508474578</v>
      </c>
      <c r="I76" s="30"/>
      <c r="J76" s="22">
        <f>I76*F76</f>
        <v>0</v>
      </c>
      <c r="K76" s="30">
        <f>G76*0.03</f>
        <v>0.2542372881355932</v>
      </c>
      <c r="L76" s="22">
        <f>K76*F76</f>
        <v>2.554749152542373</v>
      </c>
      <c r="M76" s="200">
        <f>G76+I76+K76</f>
        <v>8.728813559322035</v>
      </c>
      <c r="N76" s="22">
        <f>L76+J76+H76</f>
        <v>87.71305423728815</v>
      </c>
      <c r="P76" s="77"/>
    </row>
    <row r="77" spans="1:16" s="23" customFormat="1" ht="33" customHeight="1">
      <c r="A77" s="88">
        <f>A71+1</f>
        <v>14</v>
      </c>
      <c r="B77" s="117" t="s">
        <v>133</v>
      </c>
      <c r="C77" s="95" t="s">
        <v>135</v>
      </c>
      <c r="D77" s="95" t="s">
        <v>119</v>
      </c>
      <c r="E77" s="44"/>
      <c r="F77" s="203">
        <f>26.68+24.74+7.65+3.4</f>
        <v>62.47</v>
      </c>
      <c r="G77" s="101"/>
      <c r="H77" s="22"/>
      <c r="I77" s="24"/>
      <c r="J77" s="22"/>
      <c r="K77" s="24"/>
      <c r="L77" s="22"/>
      <c r="M77" s="200"/>
      <c r="N77" s="90"/>
      <c r="P77" s="96"/>
    </row>
    <row r="78" spans="1:16" s="23" customFormat="1" ht="18" customHeight="1">
      <c r="A78" s="33"/>
      <c r="B78" s="9"/>
      <c r="C78" s="89" t="s">
        <v>12</v>
      </c>
      <c r="D78" s="94" t="s">
        <v>120</v>
      </c>
      <c r="E78" s="64">
        <v>1</v>
      </c>
      <c r="F78" s="54">
        <f>F77*E78</f>
        <v>62.47</v>
      </c>
      <c r="G78" s="30">
        <v>0</v>
      </c>
      <c r="H78" s="22">
        <f aca="true" t="shared" si="16" ref="H78:H84">G78*F78</f>
        <v>0</v>
      </c>
      <c r="I78" s="92">
        <f>60*1.25</f>
        <v>75</v>
      </c>
      <c r="J78" s="22">
        <f aca="true" t="shared" si="17" ref="J78:J84">I78*F78</f>
        <v>4685.25</v>
      </c>
      <c r="K78" s="92"/>
      <c r="L78" s="22">
        <f aca="true" t="shared" si="18" ref="L78:L84">K78*F78</f>
        <v>0</v>
      </c>
      <c r="M78" s="200">
        <f aca="true" t="shared" si="19" ref="M78:M84">G78+I78+K78</f>
        <v>75</v>
      </c>
      <c r="N78" s="22">
        <f aca="true" t="shared" si="20" ref="N78:N84">L78+J78+H78</f>
        <v>4685.25</v>
      </c>
      <c r="P78" s="96"/>
    </row>
    <row r="79" spans="1:14" s="19" customFormat="1" ht="17.25" customHeight="1">
      <c r="A79" s="31"/>
      <c r="B79" s="2"/>
      <c r="C79" s="32" t="s">
        <v>48</v>
      </c>
      <c r="D79" s="20" t="s">
        <v>6</v>
      </c>
      <c r="E79" s="64">
        <v>1.03</v>
      </c>
      <c r="F79" s="87">
        <f>((1381+2261)*1+(1281+2096)*1+(168+176+60)*1+(176+288)*1)*E79/1000</f>
        <v>8.123610000000001</v>
      </c>
      <c r="G79" s="30">
        <f>900*1.75/1.18</f>
        <v>1334.7457627118645</v>
      </c>
      <c r="H79" s="22">
        <f t="shared" si="16"/>
        <v>10842.95402542373</v>
      </c>
      <c r="I79" s="30"/>
      <c r="J79" s="22">
        <f t="shared" si="17"/>
        <v>0</v>
      </c>
      <c r="K79" s="30">
        <f>G79*0.03</f>
        <v>40.04237288135593</v>
      </c>
      <c r="L79" s="22">
        <f t="shared" si="18"/>
        <v>325.2886207627119</v>
      </c>
      <c r="M79" s="200">
        <f t="shared" si="19"/>
        <v>1374.7881355932204</v>
      </c>
      <c r="N79" s="22">
        <f t="shared" si="20"/>
        <v>11168.242646186443</v>
      </c>
    </row>
    <row r="80" spans="1:14" s="99" customFormat="1" ht="17.25" customHeight="1">
      <c r="A80" s="98"/>
      <c r="B80" s="10"/>
      <c r="C80" s="89" t="s">
        <v>121</v>
      </c>
      <c r="D80" s="20" t="s">
        <v>6</v>
      </c>
      <c r="E80" s="64">
        <v>1.03</v>
      </c>
      <c r="F80" s="87">
        <f>(1136+1054+237+145)*E80/1000</f>
        <v>2.6491599999999997</v>
      </c>
      <c r="G80" s="30">
        <f>920*1.75/1.18</f>
        <v>1364.406779661017</v>
      </c>
      <c r="H80" s="22">
        <f t="shared" si="16"/>
        <v>3614.5318644067797</v>
      </c>
      <c r="I80" s="30"/>
      <c r="J80" s="22">
        <f t="shared" si="17"/>
        <v>0</v>
      </c>
      <c r="K80" s="30">
        <f>G80*0.03</f>
        <v>40.93220338983051</v>
      </c>
      <c r="L80" s="22">
        <f t="shared" si="18"/>
        <v>108.43595593220338</v>
      </c>
      <c r="M80" s="200">
        <f t="shared" si="19"/>
        <v>1405.3389830508474</v>
      </c>
      <c r="N80" s="22">
        <f t="shared" si="20"/>
        <v>3722.967820338983</v>
      </c>
    </row>
    <row r="81" spans="1:16" s="23" customFormat="1" ht="17.25" customHeight="1">
      <c r="A81" s="33"/>
      <c r="B81" s="195"/>
      <c r="C81" s="94" t="s">
        <v>117</v>
      </c>
      <c r="D81" s="94" t="s">
        <v>120</v>
      </c>
      <c r="E81" s="45">
        <v>1</v>
      </c>
      <c r="F81" s="75">
        <f>E81*F77</f>
        <v>62.47</v>
      </c>
      <c r="G81" s="30">
        <f>136/1.18</f>
        <v>115.2542372881356</v>
      </c>
      <c r="H81" s="22">
        <f t="shared" si="16"/>
        <v>7199.932203389831</v>
      </c>
      <c r="I81" s="30"/>
      <c r="J81" s="22">
        <f t="shared" si="17"/>
        <v>0</v>
      </c>
      <c r="K81" s="30">
        <f>25</f>
        <v>25</v>
      </c>
      <c r="L81" s="22">
        <f t="shared" si="18"/>
        <v>1561.75</v>
      </c>
      <c r="M81" s="200">
        <f t="shared" si="19"/>
        <v>140.25423728813558</v>
      </c>
      <c r="N81" s="22">
        <f t="shared" si="20"/>
        <v>8761.682203389832</v>
      </c>
      <c r="P81" s="96"/>
    </row>
    <row r="82" spans="1:16" s="23" customFormat="1" ht="18" customHeight="1">
      <c r="A82" s="33"/>
      <c r="B82" s="9"/>
      <c r="C82" s="89" t="s">
        <v>37</v>
      </c>
      <c r="D82" s="89" t="s">
        <v>122</v>
      </c>
      <c r="E82" s="64">
        <v>2.46</v>
      </c>
      <c r="F82" s="204">
        <f>F77*E82</f>
        <v>153.6762</v>
      </c>
      <c r="G82" s="100">
        <f>23/1.18</f>
        <v>19.491525423728813</v>
      </c>
      <c r="H82" s="22">
        <f t="shared" si="16"/>
        <v>2995.3835593220338</v>
      </c>
      <c r="I82" s="100"/>
      <c r="J82" s="22">
        <f t="shared" si="17"/>
        <v>0</v>
      </c>
      <c r="K82" s="30">
        <f>G82*0.03</f>
        <v>0.5847457627118644</v>
      </c>
      <c r="L82" s="22">
        <f t="shared" si="18"/>
        <v>89.86150677966101</v>
      </c>
      <c r="M82" s="200">
        <f t="shared" si="19"/>
        <v>20.076271186440678</v>
      </c>
      <c r="N82" s="22">
        <f t="shared" si="20"/>
        <v>3085.2450661016946</v>
      </c>
      <c r="P82" s="96"/>
    </row>
    <row r="83" spans="1:16" s="23" customFormat="1" ht="18" customHeight="1">
      <c r="A83" s="33"/>
      <c r="B83" s="9"/>
      <c r="C83" s="89" t="s">
        <v>32</v>
      </c>
      <c r="D83" s="89" t="s">
        <v>120</v>
      </c>
      <c r="E83" s="64">
        <f>2.4/100</f>
        <v>0.024</v>
      </c>
      <c r="F83" s="204">
        <f>E83*F77</f>
        <v>1.49928</v>
      </c>
      <c r="G83" s="100">
        <f>540/1.18</f>
        <v>457.6271186440678</v>
      </c>
      <c r="H83" s="22">
        <f t="shared" si="16"/>
        <v>686.111186440678</v>
      </c>
      <c r="I83" s="100"/>
      <c r="J83" s="22">
        <f t="shared" si="17"/>
        <v>0</v>
      </c>
      <c r="K83" s="30">
        <f>G83*0.03</f>
        <v>13.728813559322035</v>
      </c>
      <c r="L83" s="22">
        <f t="shared" si="18"/>
        <v>20.58333559322034</v>
      </c>
      <c r="M83" s="200">
        <f t="shared" si="19"/>
        <v>471.35593220338984</v>
      </c>
      <c r="N83" s="22">
        <f t="shared" si="20"/>
        <v>706.6945220338984</v>
      </c>
      <c r="P83" s="96"/>
    </row>
    <row r="84" spans="1:16" s="23" customFormat="1" ht="18" customHeight="1">
      <c r="A84" s="33"/>
      <c r="B84" s="9"/>
      <c r="C84" s="89" t="s">
        <v>34</v>
      </c>
      <c r="D84" s="89" t="s">
        <v>6</v>
      </c>
      <c r="E84" s="64">
        <f>0.33/100</f>
        <v>0.0033</v>
      </c>
      <c r="F84" s="204">
        <f>F77*E84</f>
        <v>0.206151</v>
      </c>
      <c r="G84" s="100">
        <f>16/1.18/5</f>
        <v>2.7118644067796613</v>
      </c>
      <c r="H84" s="22">
        <f t="shared" si="16"/>
        <v>0.5590535593220339</v>
      </c>
      <c r="I84" s="100"/>
      <c r="J84" s="22">
        <f t="shared" si="17"/>
        <v>0</v>
      </c>
      <c r="K84" s="30">
        <f>G84*0.03</f>
        <v>0.08135593220338984</v>
      </c>
      <c r="L84" s="22">
        <f t="shared" si="18"/>
        <v>0.016771606779661018</v>
      </c>
      <c r="M84" s="200">
        <f t="shared" si="19"/>
        <v>2.793220338983051</v>
      </c>
      <c r="N84" s="22">
        <f t="shared" si="20"/>
        <v>0.575825166101695</v>
      </c>
      <c r="P84" s="96"/>
    </row>
    <row r="85" spans="1:16" s="23" customFormat="1" ht="33" customHeight="1">
      <c r="A85" s="88">
        <f>A77+1</f>
        <v>15</v>
      </c>
      <c r="B85" s="117" t="s">
        <v>136</v>
      </c>
      <c r="C85" s="103" t="s">
        <v>138</v>
      </c>
      <c r="D85" s="103" t="s">
        <v>119</v>
      </c>
      <c r="E85" s="11"/>
      <c r="F85" s="199">
        <f>42.2</f>
        <v>42.2</v>
      </c>
      <c r="G85" s="33"/>
      <c r="H85" s="33"/>
      <c r="I85" s="35"/>
      <c r="J85" s="33"/>
      <c r="K85" s="35"/>
      <c r="L85" s="33"/>
      <c r="M85" s="213"/>
      <c r="N85" s="34"/>
      <c r="P85" s="96"/>
    </row>
    <row r="86" spans="1:16" s="23" customFormat="1" ht="18" customHeight="1">
      <c r="A86" s="33"/>
      <c r="B86" s="195"/>
      <c r="C86" s="94" t="s">
        <v>12</v>
      </c>
      <c r="D86" s="94" t="s">
        <v>120</v>
      </c>
      <c r="E86" s="45">
        <v>1</v>
      </c>
      <c r="F86" s="54">
        <f>F85*E86</f>
        <v>42.2</v>
      </c>
      <c r="G86" s="30">
        <v>0</v>
      </c>
      <c r="H86" s="22">
        <f aca="true" t="shared" si="21" ref="H86:H92">G86*F86</f>
        <v>0</v>
      </c>
      <c r="I86" s="92">
        <f>60*1.25</f>
        <v>75</v>
      </c>
      <c r="J86" s="22">
        <f aca="true" t="shared" si="22" ref="J86:J92">I86*F86</f>
        <v>3165</v>
      </c>
      <c r="K86" s="30">
        <f>G86*0.03</f>
        <v>0</v>
      </c>
      <c r="L86" s="22">
        <f aca="true" t="shared" si="23" ref="L86:L92">K86*F86</f>
        <v>0</v>
      </c>
      <c r="M86" s="200">
        <f aca="true" t="shared" si="24" ref="M86:M92">G86+I86+K86</f>
        <v>75</v>
      </c>
      <c r="N86" s="22">
        <f aca="true" t="shared" si="25" ref="N86:N92">L86+J86+H86</f>
        <v>3165</v>
      </c>
      <c r="P86" s="96"/>
    </row>
    <row r="87" spans="1:16" s="23" customFormat="1" ht="18" customHeight="1">
      <c r="A87" s="33"/>
      <c r="B87" s="195"/>
      <c r="C87" s="94" t="s">
        <v>117</v>
      </c>
      <c r="D87" s="94" t="s">
        <v>120</v>
      </c>
      <c r="E87" s="45">
        <f>101.5/100</f>
        <v>1.015</v>
      </c>
      <c r="F87" s="75">
        <f>E87*F85</f>
        <v>42.833</v>
      </c>
      <c r="G87" s="30">
        <f>136/1.18</f>
        <v>115.2542372881356</v>
      </c>
      <c r="H87" s="22">
        <f t="shared" si="21"/>
        <v>4936.684745762712</v>
      </c>
      <c r="I87" s="30"/>
      <c r="J87" s="22">
        <f t="shared" si="22"/>
        <v>0</v>
      </c>
      <c r="K87" s="30">
        <f>25</f>
        <v>25</v>
      </c>
      <c r="L87" s="22">
        <f t="shared" si="23"/>
        <v>1070.825</v>
      </c>
      <c r="M87" s="200">
        <f t="shared" si="24"/>
        <v>140.25423728813558</v>
      </c>
      <c r="N87" s="22">
        <f t="shared" si="25"/>
        <v>6007.509745762712</v>
      </c>
      <c r="P87" s="96"/>
    </row>
    <row r="88" spans="1:14" s="19" customFormat="1" ht="17.25" customHeight="1">
      <c r="A88" s="31"/>
      <c r="B88" s="2"/>
      <c r="C88" s="32" t="s">
        <v>48</v>
      </c>
      <c r="D88" s="20" t="s">
        <v>6</v>
      </c>
      <c r="E88" s="64">
        <v>1.03</v>
      </c>
      <c r="F88" s="87">
        <f>(6838)*E88/1000</f>
        <v>7.04314</v>
      </c>
      <c r="G88" s="30">
        <f>900*1.75/1.18</f>
        <v>1334.7457627118645</v>
      </c>
      <c r="H88" s="22">
        <f t="shared" si="21"/>
        <v>9400.801271186441</v>
      </c>
      <c r="I88" s="30"/>
      <c r="J88" s="22">
        <f t="shared" si="22"/>
        <v>0</v>
      </c>
      <c r="K88" s="30">
        <f>G88*0.03</f>
        <v>40.04237288135593</v>
      </c>
      <c r="L88" s="22">
        <f t="shared" si="23"/>
        <v>282.02403813559323</v>
      </c>
      <c r="M88" s="200">
        <f t="shared" si="24"/>
        <v>1374.7881355932204</v>
      </c>
      <c r="N88" s="22">
        <f t="shared" si="25"/>
        <v>9682.825309322034</v>
      </c>
    </row>
    <row r="89" spans="1:14" s="99" customFormat="1" ht="17.25" customHeight="1">
      <c r="A89" s="98"/>
      <c r="B89" s="10"/>
      <c r="C89" s="89" t="s">
        <v>121</v>
      </c>
      <c r="D89" s="20" t="s">
        <v>6</v>
      </c>
      <c r="E89" s="64">
        <v>1.03</v>
      </c>
      <c r="F89" s="87">
        <f>(57)*E89/1000</f>
        <v>0.05871</v>
      </c>
      <c r="G89" s="30">
        <f>920*1.75/1.18</f>
        <v>1364.406779661017</v>
      </c>
      <c r="H89" s="22">
        <f t="shared" si="21"/>
        <v>80.10432203389831</v>
      </c>
      <c r="I89" s="30"/>
      <c r="J89" s="22">
        <f t="shared" si="22"/>
        <v>0</v>
      </c>
      <c r="K89" s="30">
        <f>G89*0.03</f>
        <v>40.93220338983051</v>
      </c>
      <c r="L89" s="22">
        <f t="shared" si="23"/>
        <v>2.4031296610169495</v>
      </c>
      <c r="M89" s="200">
        <f t="shared" si="24"/>
        <v>1405.3389830508474</v>
      </c>
      <c r="N89" s="22">
        <f t="shared" si="25"/>
        <v>82.50745169491526</v>
      </c>
    </row>
    <row r="90" spans="1:16" s="23" customFormat="1" ht="18" customHeight="1">
      <c r="A90" s="33"/>
      <c r="B90" s="195"/>
      <c r="C90" s="94" t="s">
        <v>137</v>
      </c>
      <c r="D90" s="32" t="s">
        <v>81</v>
      </c>
      <c r="E90" s="45">
        <v>5</v>
      </c>
      <c r="F90" s="204">
        <f>SUM(F88:F89)*E90</f>
        <v>35.50925</v>
      </c>
      <c r="G90" s="100">
        <f>3/1.18</f>
        <v>2.5423728813559325</v>
      </c>
      <c r="H90" s="22">
        <f t="shared" si="21"/>
        <v>90.27775423728815</v>
      </c>
      <c r="I90" s="100"/>
      <c r="J90" s="22">
        <f t="shared" si="22"/>
        <v>0</v>
      </c>
      <c r="K90" s="30">
        <f>G90*0.03</f>
        <v>0.07627118644067797</v>
      </c>
      <c r="L90" s="22">
        <f t="shared" si="23"/>
        <v>2.7083326271186445</v>
      </c>
      <c r="M90" s="200">
        <f t="shared" si="24"/>
        <v>2.6186440677966103</v>
      </c>
      <c r="N90" s="22">
        <f t="shared" si="25"/>
        <v>92.9860868644068</v>
      </c>
      <c r="P90" s="96"/>
    </row>
    <row r="91" spans="1:16" s="23" customFormat="1" ht="18" customHeight="1">
      <c r="A91" s="33"/>
      <c r="B91" s="195"/>
      <c r="C91" s="89" t="s">
        <v>37</v>
      </c>
      <c r="D91" s="94" t="s">
        <v>122</v>
      </c>
      <c r="E91" s="45">
        <f>137*0.6/100</f>
        <v>0.8220000000000001</v>
      </c>
      <c r="F91" s="204">
        <f>F85*E91</f>
        <v>34.68840000000001</v>
      </c>
      <c r="G91" s="100">
        <f>23/1.18</f>
        <v>19.491525423728813</v>
      </c>
      <c r="H91" s="22">
        <f t="shared" si="21"/>
        <v>676.1298305084747</v>
      </c>
      <c r="I91" s="100"/>
      <c r="J91" s="22">
        <f t="shared" si="22"/>
        <v>0</v>
      </c>
      <c r="K91" s="30">
        <f>G91*0.03</f>
        <v>0.5847457627118644</v>
      </c>
      <c r="L91" s="22">
        <f t="shared" si="23"/>
        <v>20.28389491525424</v>
      </c>
      <c r="M91" s="200">
        <f t="shared" si="24"/>
        <v>20.076271186440678</v>
      </c>
      <c r="N91" s="22">
        <f t="shared" si="25"/>
        <v>696.4137254237289</v>
      </c>
      <c r="P91" s="96"/>
    </row>
    <row r="92" spans="1:16" s="23" customFormat="1" ht="18" customHeight="1">
      <c r="A92" s="33"/>
      <c r="B92" s="195"/>
      <c r="C92" s="94" t="s">
        <v>32</v>
      </c>
      <c r="D92" s="94" t="s">
        <v>120</v>
      </c>
      <c r="E92" s="45">
        <f>3.66/100</f>
        <v>0.0366</v>
      </c>
      <c r="F92" s="204">
        <f>F85*E92</f>
        <v>1.5445200000000001</v>
      </c>
      <c r="G92" s="100">
        <f>540/1.18</f>
        <v>457.6271186440678</v>
      </c>
      <c r="H92" s="22">
        <f t="shared" si="21"/>
        <v>706.8142372881357</v>
      </c>
      <c r="I92" s="100"/>
      <c r="J92" s="22">
        <f t="shared" si="22"/>
        <v>0</v>
      </c>
      <c r="K92" s="30">
        <f>G92*0.03</f>
        <v>13.728813559322035</v>
      </c>
      <c r="L92" s="22">
        <f t="shared" si="23"/>
        <v>21.20442711864407</v>
      </c>
      <c r="M92" s="200">
        <f t="shared" si="24"/>
        <v>471.35593220338984</v>
      </c>
      <c r="N92" s="22">
        <f t="shared" si="25"/>
        <v>728.0186644067797</v>
      </c>
      <c r="P92" s="96"/>
    </row>
    <row r="93" spans="1:16" s="23" customFormat="1" ht="33" customHeight="1">
      <c r="A93" s="88">
        <f>A85+1</f>
        <v>16</v>
      </c>
      <c r="B93" s="117" t="s">
        <v>136</v>
      </c>
      <c r="C93" s="103" t="s">
        <v>139</v>
      </c>
      <c r="D93" s="103" t="s">
        <v>119</v>
      </c>
      <c r="E93" s="11"/>
      <c r="F93" s="199">
        <v>35.28</v>
      </c>
      <c r="G93" s="33"/>
      <c r="H93" s="33"/>
      <c r="I93" s="35"/>
      <c r="J93" s="33"/>
      <c r="K93" s="35"/>
      <c r="L93" s="33"/>
      <c r="M93" s="213"/>
      <c r="N93" s="34"/>
      <c r="P93" s="96"/>
    </row>
    <row r="94" spans="1:16" s="23" customFormat="1" ht="18" customHeight="1">
      <c r="A94" s="33"/>
      <c r="B94" s="195"/>
      <c r="C94" s="94" t="s">
        <v>12</v>
      </c>
      <c r="D94" s="94" t="s">
        <v>120</v>
      </c>
      <c r="E94" s="45">
        <v>1</v>
      </c>
      <c r="F94" s="54">
        <f>F93*E94</f>
        <v>35.28</v>
      </c>
      <c r="G94" s="30">
        <v>0</v>
      </c>
      <c r="H94" s="22">
        <f aca="true" t="shared" si="26" ref="H94:H100">G94*F94</f>
        <v>0</v>
      </c>
      <c r="I94" s="92">
        <f>60*1.25</f>
        <v>75</v>
      </c>
      <c r="J94" s="22">
        <f aca="true" t="shared" si="27" ref="J94:J100">I94*F94</f>
        <v>2646</v>
      </c>
      <c r="K94" s="30">
        <f>G94*0.03</f>
        <v>0</v>
      </c>
      <c r="L94" s="22">
        <f aca="true" t="shared" si="28" ref="L94:L100">K94*F94</f>
        <v>0</v>
      </c>
      <c r="M94" s="200">
        <f aca="true" t="shared" si="29" ref="M94:M100">G94+I94+K94</f>
        <v>75</v>
      </c>
      <c r="N94" s="22">
        <f aca="true" t="shared" si="30" ref="N94:N100">L94+J94+H94</f>
        <v>2646</v>
      </c>
      <c r="P94" s="96"/>
    </row>
    <row r="95" spans="1:16" s="23" customFormat="1" ht="18" customHeight="1">
      <c r="A95" s="33"/>
      <c r="B95" s="195"/>
      <c r="C95" s="94" t="s">
        <v>117</v>
      </c>
      <c r="D95" s="94" t="s">
        <v>120</v>
      </c>
      <c r="E95" s="45">
        <f>101.5/100</f>
        <v>1.015</v>
      </c>
      <c r="F95" s="75">
        <f>E95*F93</f>
        <v>35.8092</v>
      </c>
      <c r="G95" s="30">
        <f>136/1.18</f>
        <v>115.2542372881356</v>
      </c>
      <c r="H95" s="22">
        <f t="shared" si="26"/>
        <v>4127.162033898305</v>
      </c>
      <c r="I95" s="30"/>
      <c r="J95" s="22">
        <f t="shared" si="27"/>
        <v>0</v>
      </c>
      <c r="K95" s="30">
        <f>25</f>
        <v>25</v>
      </c>
      <c r="L95" s="22">
        <f t="shared" si="28"/>
        <v>895.2299999999999</v>
      </c>
      <c r="M95" s="200">
        <f t="shared" si="29"/>
        <v>140.25423728813558</v>
      </c>
      <c r="N95" s="22">
        <f t="shared" si="30"/>
        <v>5022.392033898304</v>
      </c>
      <c r="P95" s="96"/>
    </row>
    <row r="96" spans="1:14" s="19" customFormat="1" ht="17.25" customHeight="1">
      <c r="A96" s="31"/>
      <c r="B96" s="2"/>
      <c r="C96" s="32" t="s">
        <v>48</v>
      </c>
      <c r="D96" s="20" t="s">
        <v>6</v>
      </c>
      <c r="E96" s="64">
        <v>1.03</v>
      </c>
      <c r="F96" s="87">
        <f>(5808)*E96/1000</f>
        <v>5.98224</v>
      </c>
      <c r="G96" s="30">
        <f>900*1.75/1.18</f>
        <v>1334.7457627118645</v>
      </c>
      <c r="H96" s="22">
        <f t="shared" si="26"/>
        <v>7984.769491525424</v>
      </c>
      <c r="I96" s="30"/>
      <c r="J96" s="22">
        <f t="shared" si="27"/>
        <v>0</v>
      </c>
      <c r="K96" s="30">
        <f>G96*0.03</f>
        <v>40.04237288135593</v>
      </c>
      <c r="L96" s="22">
        <f t="shared" si="28"/>
        <v>239.5430847457627</v>
      </c>
      <c r="M96" s="200">
        <f t="shared" si="29"/>
        <v>1374.7881355932204</v>
      </c>
      <c r="N96" s="22">
        <f t="shared" si="30"/>
        <v>8224.312576271186</v>
      </c>
    </row>
    <row r="97" spans="1:14" s="99" customFormat="1" ht="17.25" customHeight="1">
      <c r="A97" s="98"/>
      <c r="B97" s="10"/>
      <c r="C97" s="89" t="s">
        <v>121</v>
      </c>
      <c r="D97" s="20" t="s">
        <v>6</v>
      </c>
      <c r="E97" s="64">
        <v>1.03</v>
      </c>
      <c r="F97" s="87">
        <f>(48)*E97/1000</f>
        <v>0.04944</v>
      </c>
      <c r="G97" s="30">
        <f>920*1.75/1.18</f>
        <v>1364.406779661017</v>
      </c>
      <c r="H97" s="22">
        <f t="shared" si="26"/>
        <v>67.45627118644067</v>
      </c>
      <c r="I97" s="30"/>
      <c r="J97" s="22">
        <f t="shared" si="27"/>
        <v>0</v>
      </c>
      <c r="K97" s="30">
        <f>G97*0.03</f>
        <v>40.93220338983051</v>
      </c>
      <c r="L97" s="22">
        <f t="shared" si="28"/>
        <v>2.0236881355932206</v>
      </c>
      <c r="M97" s="200">
        <f t="shared" si="29"/>
        <v>1405.3389830508474</v>
      </c>
      <c r="N97" s="22">
        <f t="shared" si="30"/>
        <v>69.47995932203389</v>
      </c>
    </row>
    <row r="98" spans="1:16" s="23" customFormat="1" ht="18" customHeight="1">
      <c r="A98" s="33"/>
      <c r="B98" s="195"/>
      <c r="C98" s="94" t="s">
        <v>137</v>
      </c>
      <c r="D98" s="32" t="s">
        <v>81</v>
      </c>
      <c r="E98" s="45">
        <v>5</v>
      </c>
      <c r="F98" s="204">
        <f>SUM(F96:F97)*E98</f>
        <v>30.1584</v>
      </c>
      <c r="G98" s="100">
        <f>3/1.18</f>
        <v>2.5423728813559325</v>
      </c>
      <c r="H98" s="22">
        <f t="shared" si="26"/>
        <v>76.67389830508476</v>
      </c>
      <c r="I98" s="100"/>
      <c r="J98" s="22">
        <f t="shared" si="27"/>
        <v>0</v>
      </c>
      <c r="K98" s="30">
        <f>G98*0.03</f>
        <v>0.07627118644067797</v>
      </c>
      <c r="L98" s="22">
        <f t="shared" si="28"/>
        <v>2.3002169491525426</v>
      </c>
      <c r="M98" s="200">
        <f t="shared" si="29"/>
        <v>2.6186440677966103</v>
      </c>
      <c r="N98" s="22">
        <f t="shared" si="30"/>
        <v>78.9741152542373</v>
      </c>
      <c r="P98" s="96"/>
    </row>
    <row r="99" spans="1:16" s="23" customFormat="1" ht="18" customHeight="1">
      <c r="A99" s="33"/>
      <c r="B99" s="195"/>
      <c r="C99" s="89" t="s">
        <v>37</v>
      </c>
      <c r="D99" s="94" t="s">
        <v>122</v>
      </c>
      <c r="E99" s="45">
        <f>137*0.6/100</f>
        <v>0.8220000000000001</v>
      </c>
      <c r="F99" s="204">
        <f>F93*E99</f>
        <v>29.000160000000005</v>
      </c>
      <c r="G99" s="100">
        <f>23/1.18</f>
        <v>19.491525423728813</v>
      </c>
      <c r="H99" s="22">
        <f t="shared" si="26"/>
        <v>565.2573559322035</v>
      </c>
      <c r="I99" s="100"/>
      <c r="J99" s="22">
        <f t="shared" si="27"/>
        <v>0</v>
      </c>
      <c r="K99" s="30">
        <f>G99*0.03</f>
        <v>0.5847457627118644</v>
      </c>
      <c r="L99" s="22">
        <f t="shared" si="28"/>
        <v>16.957720677966105</v>
      </c>
      <c r="M99" s="200">
        <f t="shared" si="29"/>
        <v>20.076271186440678</v>
      </c>
      <c r="N99" s="22">
        <f t="shared" si="30"/>
        <v>582.2150766101696</v>
      </c>
      <c r="P99" s="96"/>
    </row>
    <row r="100" spans="1:16" s="23" customFormat="1" ht="18" customHeight="1">
      <c r="A100" s="33"/>
      <c r="B100" s="195"/>
      <c r="C100" s="94" t="s">
        <v>32</v>
      </c>
      <c r="D100" s="94" t="s">
        <v>120</v>
      </c>
      <c r="E100" s="45">
        <f>3.66/100</f>
        <v>0.0366</v>
      </c>
      <c r="F100" s="204">
        <f>F93*E100</f>
        <v>1.291248</v>
      </c>
      <c r="G100" s="100">
        <f>540/1.18</f>
        <v>457.6271186440678</v>
      </c>
      <c r="H100" s="22">
        <f t="shared" si="26"/>
        <v>590.9101016949153</v>
      </c>
      <c r="I100" s="100"/>
      <c r="J100" s="22">
        <f t="shared" si="27"/>
        <v>0</v>
      </c>
      <c r="K100" s="30">
        <f>G100*0.03</f>
        <v>13.728813559322035</v>
      </c>
      <c r="L100" s="22">
        <f t="shared" si="28"/>
        <v>17.727303050847457</v>
      </c>
      <c r="M100" s="200">
        <f t="shared" si="29"/>
        <v>471.35593220338984</v>
      </c>
      <c r="N100" s="22">
        <f t="shared" si="30"/>
        <v>608.6374047457628</v>
      </c>
      <c r="P100" s="96"/>
    </row>
    <row r="101" spans="1:16" s="23" customFormat="1" ht="33" customHeight="1">
      <c r="A101" s="88">
        <f>A93+1</f>
        <v>17</v>
      </c>
      <c r="B101" s="117" t="s">
        <v>136</v>
      </c>
      <c r="C101" s="103" t="s">
        <v>140</v>
      </c>
      <c r="D101" s="103" t="s">
        <v>119</v>
      </c>
      <c r="E101" s="11"/>
      <c r="F101" s="199">
        <v>14.4</v>
      </c>
      <c r="G101" s="33"/>
      <c r="H101" s="33"/>
      <c r="I101" s="35"/>
      <c r="J101" s="33"/>
      <c r="K101" s="35"/>
      <c r="L101" s="33"/>
      <c r="M101" s="213"/>
      <c r="N101" s="34"/>
      <c r="P101" s="96"/>
    </row>
    <row r="102" spans="1:16" s="23" customFormat="1" ht="18" customHeight="1">
      <c r="A102" s="33"/>
      <c r="B102" s="195"/>
      <c r="C102" s="94" t="s">
        <v>12</v>
      </c>
      <c r="D102" s="94" t="s">
        <v>120</v>
      </c>
      <c r="E102" s="45">
        <v>1</v>
      </c>
      <c r="F102" s="54">
        <f>F101*E102</f>
        <v>14.4</v>
      </c>
      <c r="G102" s="30">
        <v>0</v>
      </c>
      <c r="H102" s="22">
        <f aca="true" t="shared" si="31" ref="H102:H108">G102*F102</f>
        <v>0</v>
      </c>
      <c r="I102" s="92">
        <f>60*1.25</f>
        <v>75</v>
      </c>
      <c r="J102" s="22">
        <f aca="true" t="shared" si="32" ref="J102:J108">I102*F102</f>
        <v>1080</v>
      </c>
      <c r="K102" s="30">
        <f>G102*0.03</f>
        <v>0</v>
      </c>
      <c r="L102" s="22">
        <f aca="true" t="shared" si="33" ref="L102:L108">K102*F102</f>
        <v>0</v>
      </c>
      <c r="M102" s="200">
        <f aca="true" t="shared" si="34" ref="M102:M108">G102+I102+K102</f>
        <v>75</v>
      </c>
      <c r="N102" s="22">
        <f aca="true" t="shared" si="35" ref="N102:N108">L102+J102+H102</f>
        <v>1080</v>
      </c>
      <c r="P102" s="96"/>
    </row>
    <row r="103" spans="1:16" s="23" customFormat="1" ht="18" customHeight="1">
      <c r="A103" s="33"/>
      <c r="B103" s="195"/>
      <c r="C103" s="94" t="s">
        <v>117</v>
      </c>
      <c r="D103" s="94" t="s">
        <v>120</v>
      </c>
      <c r="E103" s="45">
        <f>101.5/100</f>
        <v>1.015</v>
      </c>
      <c r="F103" s="75">
        <f>E103*F101</f>
        <v>14.616</v>
      </c>
      <c r="G103" s="30">
        <f>136/1.18</f>
        <v>115.2542372881356</v>
      </c>
      <c r="H103" s="22">
        <f t="shared" si="31"/>
        <v>1684.5559322033898</v>
      </c>
      <c r="I103" s="30"/>
      <c r="J103" s="22">
        <f t="shared" si="32"/>
        <v>0</v>
      </c>
      <c r="K103" s="30">
        <f>25</f>
        <v>25</v>
      </c>
      <c r="L103" s="22">
        <f t="shared" si="33"/>
        <v>365.4</v>
      </c>
      <c r="M103" s="200">
        <f t="shared" si="34"/>
        <v>140.25423728813558</v>
      </c>
      <c r="N103" s="22">
        <f t="shared" si="35"/>
        <v>2049.9559322033897</v>
      </c>
      <c r="P103" s="96"/>
    </row>
    <row r="104" spans="1:14" s="19" customFormat="1" ht="17.25" customHeight="1">
      <c r="A104" s="31"/>
      <c r="B104" s="2"/>
      <c r="C104" s="32" t="s">
        <v>48</v>
      </c>
      <c r="D104" s="20" t="s">
        <v>6</v>
      </c>
      <c r="E104" s="64">
        <v>1.03</v>
      </c>
      <c r="F104" s="87">
        <f>(2260)*E104/1000</f>
        <v>2.3278000000000003</v>
      </c>
      <c r="G104" s="30">
        <f>900*1.75/1.18</f>
        <v>1334.7457627118645</v>
      </c>
      <c r="H104" s="22">
        <f t="shared" si="31"/>
        <v>3107.0211864406783</v>
      </c>
      <c r="I104" s="30"/>
      <c r="J104" s="22">
        <f t="shared" si="32"/>
        <v>0</v>
      </c>
      <c r="K104" s="30">
        <f>G104*0.03</f>
        <v>40.04237288135593</v>
      </c>
      <c r="L104" s="22">
        <f t="shared" si="33"/>
        <v>93.21063559322035</v>
      </c>
      <c r="M104" s="200">
        <f t="shared" si="34"/>
        <v>1374.7881355932204</v>
      </c>
      <c r="N104" s="22">
        <f t="shared" si="35"/>
        <v>3200.231822033899</v>
      </c>
    </row>
    <row r="105" spans="1:14" s="99" customFormat="1" ht="17.25" customHeight="1">
      <c r="A105" s="98"/>
      <c r="B105" s="10"/>
      <c r="C105" s="89" t="s">
        <v>121</v>
      </c>
      <c r="D105" s="20" t="s">
        <v>6</v>
      </c>
      <c r="E105" s="64">
        <v>1.03</v>
      </c>
      <c r="F105" s="87">
        <f>(19)*E105/1000</f>
        <v>0.01957</v>
      </c>
      <c r="G105" s="30">
        <f>920*1.75/1.18</f>
        <v>1364.406779661017</v>
      </c>
      <c r="H105" s="22">
        <f t="shared" si="31"/>
        <v>26.701440677966104</v>
      </c>
      <c r="I105" s="30"/>
      <c r="J105" s="22">
        <f t="shared" si="32"/>
        <v>0</v>
      </c>
      <c r="K105" s="30">
        <f>G105*0.03</f>
        <v>40.93220338983051</v>
      </c>
      <c r="L105" s="22">
        <f t="shared" si="33"/>
        <v>0.8010432203389831</v>
      </c>
      <c r="M105" s="200">
        <f t="shared" si="34"/>
        <v>1405.3389830508474</v>
      </c>
      <c r="N105" s="22">
        <f t="shared" si="35"/>
        <v>27.502483898305087</v>
      </c>
    </row>
    <row r="106" spans="1:16" s="23" customFormat="1" ht="18" customHeight="1">
      <c r="A106" s="33"/>
      <c r="B106" s="195"/>
      <c r="C106" s="94" t="s">
        <v>137</v>
      </c>
      <c r="D106" s="32" t="s">
        <v>81</v>
      </c>
      <c r="E106" s="45">
        <v>5</v>
      </c>
      <c r="F106" s="204">
        <f>SUM(F104:F105)*E106</f>
        <v>11.73685</v>
      </c>
      <c r="G106" s="100">
        <f>3/1.18</f>
        <v>2.5423728813559325</v>
      </c>
      <c r="H106" s="22">
        <f t="shared" si="31"/>
        <v>29.83944915254238</v>
      </c>
      <c r="I106" s="100"/>
      <c r="J106" s="22">
        <f t="shared" si="32"/>
        <v>0</v>
      </c>
      <c r="K106" s="30">
        <f>G106*0.03</f>
        <v>0.07627118644067797</v>
      </c>
      <c r="L106" s="22">
        <f t="shared" si="33"/>
        <v>0.8951834745762712</v>
      </c>
      <c r="M106" s="200">
        <f t="shared" si="34"/>
        <v>2.6186440677966103</v>
      </c>
      <c r="N106" s="22">
        <f t="shared" si="35"/>
        <v>30.73463262711865</v>
      </c>
      <c r="P106" s="96"/>
    </row>
    <row r="107" spans="1:16" s="23" customFormat="1" ht="18" customHeight="1">
      <c r="A107" s="33"/>
      <c r="B107" s="195"/>
      <c r="C107" s="89" t="s">
        <v>37</v>
      </c>
      <c r="D107" s="94" t="s">
        <v>122</v>
      </c>
      <c r="E107" s="45">
        <f>137*0.6/100</f>
        <v>0.8220000000000001</v>
      </c>
      <c r="F107" s="204">
        <f>F101*E107</f>
        <v>11.836800000000002</v>
      </c>
      <c r="G107" s="100">
        <f>23/1.18</f>
        <v>19.491525423728813</v>
      </c>
      <c r="H107" s="22">
        <f t="shared" si="31"/>
        <v>230.71728813559326</v>
      </c>
      <c r="I107" s="100"/>
      <c r="J107" s="22">
        <f t="shared" si="32"/>
        <v>0</v>
      </c>
      <c r="K107" s="30">
        <f>G107*0.03</f>
        <v>0.5847457627118644</v>
      </c>
      <c r="L107" s="22">
        <f t="shared" si="33"/>
        <v>6.921518644067798</v>
      </c>
      <c r="M107" s="200">
        <f t="shared" si="34"/>
        <v>20.076271186440678</v>
      </c>
      <c r="N107" s="22">
        <f t="shared" si="35"/>
        <v>237.63880677966105</v>
      </c>
      <c r="P107" s="96"/>
    </row>
    <row r="108" spans="1:16" s="23" customFormat="1" ht="18" customHeight="1">
      <c r="A108" s="33"/>
      <c r="B108" s="195"/>
      <c r="C108" s="94" t="s">
        <v>32</v>
      </c>
      <c r="D108" s="94" t="s">
        <v>120</v>
      </c>
      <c r="E108" s="45">
        <f>3.66/100</f>
        <v>0.0366</v>
      </c>
      <c r="F108" s="204">
        <f>F101*E108</f>
        <v>0.5270400000000001</v>
      </c>
      <c r="G108" s="100">
        <f>540/1.18</f>
        <v>457.6271186440678</v>
      </c>
      <c r="H108" s="22">
        <f t="shared" si="31"/>
        <v>241.18779661016953</v>
      </c>
      <c r="I108" s="100"/>
      <c r="J108" s="22">
        <f t="shared" si="32"/>
        <v>0</v>
      </c>
      <c r="K108" s="30">
        <f>G108*0.03</f>
        <v>13.728813559322035</v>
      </c>
      <c r="L108" s="22">
        <f t="shared" si="33"/>
        <v>7.235633898305086</v>
      </c>
      <c r="M108" s="200">
        <f t="shared" si="34"/>
        <v>471.35593220338984</v>
      </c>
      <c r="N108" s="22">
        <f t="shared" si="35"/>
        <v>248.4234305084746</v>
      </c>
      <c r="P108" s="96"/>
    </row>
    <row r="109" spans="1:16" s="23" customFormat="1" ht="33" customHeight="1">
      <c r="A109" s="88">
        <f>A101+1</f>
        <v>18</v>
      </c>
      <c r="B109" s="117" t="s">
        <v>136</v>
      </c>
      <c r="C109" s="103" t="s">
        <v>141</v>
      </c>
      <c r="D109" s="103" t="s">
        <v>119</v>
      </c>
      <c r="E109" s="11"/>
      <c r="F109" s="199">
        <v>9.1</v>
      </c>
      <c r="G109" s="33"/>
      <c r="H109" s="33"/>
      <c r="I109" s="35"/>
      <c r="J109" s="33"/>
      <c r="K109" s="35"/>
      <c r="L109" s="33"/>
      <c r="M109" s="213"/>
      <c r="N109" s="34"/>
      <c r="P109" s="96"/>
    </row>
    <row r="110" spans="1:16" s="23" customFormat="1" ht="18" customHeight="1">
      <c r="A110" s="33"/>
      <c r="B110" s="195"/>
      <c r="C110" s="94" t="s">
        <v>12</v>
      </c>
      <c r="D110" s="94" t="s">
        <v>120</v>
      </c>
      <c r="E110" s="45">
        <v>1</v>
      </c>
      <c r="F110" s="54">
        <f>F109*E110</f>
        <v>9.1</v>
      </c>
      <c r="G110" s="30">
        <v>0</v>
      </c>
      <c r="H110" s="22">
        <f aca="true" t="shared" si="36" ref="H110:H116">G110*F110</f>
        <v>0</v>
      </c>
      <c r="I110" s="92">
        <f>60*1.25</f>
        <v>75</v>
      </c>
      <c r="J110" s="22">
        <f aca="true" t="shared" si="37" ref="J110:J116">I110*F110</f>
        <v>682.5</v>
      </c>
      <c r="K110" s="30">
        <f>G110*0.03</f>
        <v>0</v>
      </c>
      <c r="L110" s="22">
        <f aca="true" t="shared" si="38" ref="L110:L116">K110*F110</f>
        <v>0</v>
      </c>
      <c r="M110" s="200">
        <f aca="true" t="shared" si="39" ref="M110:M116">G110+I110+K110</f>
        <v>75</v>
      </c>
      <c r="N110" s="22">
        <f aca="true" t="shared" si="40" ref="N110:N116">L110+J110+H110</f>
        <v>682.5</v>
      </c>
      <c r="P110" s="96"/>
    </row>
    <row r="111" spans="1:16" s="23" customFormat="1" ht="18" customHeight="1">
      <c r="A111" s="33"/>
      <c r="B111" s="195"/>
      <c r="C111" s="94" t="s">
        <v>117</v>
      </c>
      <c r="D111" s="94" t="s">
        <v>120</v>
      </c>
      <c r="E111" s="45">
        <f>101.5/100</f>
        <v>1.015</v>
      </c>
      <c r="F111" s="75">
        <f>E111*F109</f>
        <v>9.2365</v>
      </c>
      <c r="G111" s="30">
        <f>136/1.18</f>
        <v>115.2542372881356</v>
      </c>
      <c r="H111" s="22">
        <f t="shared" si="36"/>
        <v>1064.5457627118644</v>
      </c>
      <c r="I111" s="30"/>
      <c r="J111" s="22">
        <f t="shared" si="37"/>
        <v>0</v>
      </c>
      <c r="K111" s="30">
        <f>25</f>
        <v>25</v>
      </c>
      <c r="L111" s="22">
        <f t="shared" si="38"/>
        <v>230.9125</v>
      </c>
      <c r="M111" s="200">
        <f t="shared" si="39"/>
        <v>140.25423728813558</v>
      </c>
      <c r="N111" s="22">
        <f t="shared" si="40"/>
        <v>1295.4582627118643</v>
      </c>
      <c r="P111" s="96"/>
    </row>
    <row r="112" spans="1:14" s="19" customFormat="1" ht="17.25" customHeight="1">
      <c r="A112" s="31"/>
      <c r="B112" s="2"/>
      <c r="C112" s="32" t="s">
        <v>48</v>
      </c>
      <c r="D112" s="20" t="s">
        <v>6</v>
      </c>
      <c r="E112" s="64">
        <v>1.03</v>
      </c>
      <c r="F112" s="87">
        <f>(894.7)*E112/1000</f>
        <v>0.921541</v>
      </c>
      <c r="G112" s="30">
        <f>900*1.75/1.18</f>
        <v>1334.7457627118645</v>
      </c>
      <c r="H112" s="22">
        <f t="shared" si="36"/>
        <v>1230.0229449152544</v>
      </c>
      <c r="I112" s="30"/>
      <c r="J112" s="22">
        <f t="shared" si="37"/>
        <v>0</v>
      </c>
      <c r="K112" s="30">
        <f>G112*0.03</f>
        <v>40.04237288135593</v>
      </c>
      <c r="L112" s="22">
        <f t="shared" si="38"/>
        <v>36.90068834745763</v>
      </c>
      <c r="M112" s="200">
        <f t="shared" si="39"/>
        <v>1374.7881355932204</v>
      </c>
      <c r="N112" s="22">
        <f t="shared" si="40"/>
        <v>1266.923633262712</v>
      </c>
    </row>
    <row r="113" spans="1:14" s="99" customFormat="1" ht="17.25" customHeight="1">
      <c r="A113" s="98"/>
      <c r="B113" s="10"/>
      <c r="C113" s="89" t="s">
        <v>121</v>
      </c>
      <c r="D113" s="20" t="s">
        <v>6</v>
      </c>
      <c r="E113" s="64">
        <v>1.03</v>
      </c>
      <c r="F113" s="87">
        <f>(106)*E113/1000</f>
        <v>0.10918000000000001</v>
      </c>
      <c r="G113" s="30">
        <f>920*1.75/1.18</f>
        <v>1364.406779661017</v>
      </c>
      <c r="H113" s="22">
        <f t="shared" si="36"/>
        <v>148.96593220338985</v>
      </c>
      <c r="I113" s="30"/>
      <c r="J113" s="22">
        <f t="shared" si="37"/>
        <v>0</v>
      </c>
      <c r="K113" s="30">
        <f>G113*0.03</f>
        <v>40.93220338983051</v>
      </c>
      <c r="L113" s="22">
        <f t="shared" si="38"/>
        <v>4.468977966101696</v>
      </c>
      <c r="M113" s="200">
        <f t="shared" si="39"/>
        <v>1405.3389830508474</v>
      </c>
      <c r="N113" s="22">
        <f t="shared" si="40"/>
        <v>153.43491016949156</v>
      </c>
    </row>
    <row r="114" spans="1:16" s="23" customFormat="1" ht="18" customHeight="1">
      <c r="A114" s="33"/>
      <c r="B114" s="195"/>
      <c r="C114" s="94" t="s">
        <v>137</v>
      </c>
      <c r="D114" s="32" t="s">
        <v>81</v>
      </c>
      <c r="E114" s="45">
        <v>5</v>
      </c>
      <c r="F114" s="204">
        <f>SUM(F112:F113)*E114</f>
        <v>5.153605</v>
      </c>
      <c r="G114" s="100">
        <f>3/1.18</f>
        <v>2.5423728813559325</v>
      </c>
      <c r="H114" s="22">
        <f t="shared" si="36"/>
        <v>13.10238559322034</v>
      </c>
      <c r="I114" s="100"/>
      <c r="J114" s="22">
        <f t="shared" si="37"/>
        <v>0</v>
      </c>
      <c r="K114" s="30">
        <f>G114*0.03</f>
        <v>0.07627118644067797</v>
      </c>
      <c r="L114" s="22">
        <f t="shared" si="38"/>
        <v>0.3930715677966102</v>
      </c>
      <c r="M114" s="200">
        <f t="shared" si="39"/>
        <v>2.6186440677966103</v>
      </c>
      <c r="N114" s="22">
        <f t="shared" si="40"/>
        <v>13.495457161016951</v>
      </c>
      <c r="P114" s="96"/>
    </row>
    <row r="115" spans="1:16" s="23" customFormat="1" ht="18" customHeight="1">
      <c r="A115" s="33"/>
      <c r="B115" s="195"/>
      <c r="C115" s="89" t="s">
        <v>37</v>
      </c>
      <c r="D115" s="94" t="s">
        <v>122</v>
      </c>
      <c r="E115" s="45">
        <f>137*0.6/100</f>
        <v>0.8220000000000001</v>
      </c>
      <c r="F115" s="204">
        <f>F109*E115</f>
        <v>7.4802</v>
      </c>
      <c r="G115" s="100">
        <f>23/1.18</f>
        <v>19.491525423728813</v>
      </c>
      <c r="H115" s="22">
        <f t="shared" si="36"/>
        <v>145.80050847457628</v>
      </c>
      <c r="I115" s="100"/>
      <c r="J115" s="22">
        <f t="shared" si="37"/>
        <v>0</v>
      </c>
      <c r="K115" s="30">
        <f>G115*0.03</f>
        <v>0.5847457627118644</v>
      </c>
      <c r="L115" s="22">
        <f t="shared" si="38"/>
        <v>4.374015254237288</v>
      </c>
      <c r="M115" s="200">
        <f t="shared" si="39"/>
        <v>20.076271186440678</v>
      </c>
      <c r="N115" s="22">
        <f t="shared" si="40"/>
        <v>150.17452372881357</v>
      </c>
      <c r="P115" s="96"/>
    </row>
    <row r="116" spans="1:16" s="23" customFormat="1" ht="18" customHeight="1">
      <c r="A116" s="33"/>
      <c r="B116" s="195"/>
      <c r="C116" s="94" t="s">
        <v>32</v>
      </c>
      <c r="D116" s="94" t="s">
        <v>120</v>
      </c>
      <c r="E116" s="45">
        <f>3.66/100</f>
        <v>0.0366</v>
      </c>
      <c r="F116" s="204">
        <f>F109*E116</f>
        <v>0.33305999999999997</v>
      </c>
      <c r="G116" s="100">
        <f>540/1.18</f>
        <v>457.6271186440678</v>
      </c>
      <c r="H116" s="22">
        <f t="shared" si="36"/>
        <v>152.41728813559322</v>
      </c>
      <c r="I116" s="100"/>
      <c r="J116" s="22">
        <f t="shared" si="37"/>
        <v>0</v>
      </c>
      <c r="K116" s="30">
        <f>G116*0.03</f>
        <v>13.728813559322035</v>
      </c>
      <c r="L116" s="22">
        <f t="shared" si="38"/>
        <v>4.572518644067796</v>
      </c>
      <c r="M116" s="200">
        <f t="shared" si="39"/>
        <v>471.35593220338984</v>
      </c>
      <c r="N116" s="22">
        <f t="shared" si="40"/>
        <v>156.98980677966102</v>
      </c>
      <c r="P116" s="96"/>
    </row>
    <row r="117" spans="1:15" s="50" customFormat="1" ht="47.25">
      <c r="A117" s="59">
        <f>A109+1</f>
        <v>19</v>
      </c>
      <c r="B117" s="117" t="s">
        <v>77</v>
      </c>
      <c r="C117" s="14" t="s">
        <v>142</v>
      </c>
      <c r="D117" s="14" t="s">
        <v>50</v>
      </c>
      <c r="E117" s="30"/>
      <c r="F117" s="199">
        <f>0.38*13</f>
        <v>4.94</v>
      </c>
      <c r="G117" s="36"/>
      <c r="H117" s="44"/>
      <c r="I117" s="36"/>
      <c r="J117" s="49"/>
      <c r="K117" s="36"/>
      <c r="L117" s="49"/>
      <c r="M117" s="212"/>
      <c r="N117" s="62"/>
      <c r="O117" s="55"/>
    </row>
    <row r="118" spans="1:14" s="52" customFormat="1" ht="17.25" customHeight="1">
      <c r="A118" s="32"/>
      <c r="B118" s="2"/>
      <c r="C118" s="12" t="s">
        <v>12</v>
      </c>
      <c r="D118" s="31" t="s">
        <v>49</v>
      </c>
      <c r="E118" s="64">
        <v>1</v>
      </c>
      <c r="F118" s="56">
        <f>E118*F117</f>
        <v>4.94</v>
      </c>
      <c r="G118" s="30">
        <v>0</v>
      </c>
      <c r="H118" s="22">
        <f>G118*F118</f>
        <v>0</v>
      </c>
      <c r="I118" s="61">
        <v>75</v>
      </c>
      <c r="J118" s="22">
        <f>I118*F118</f>
        <v>370.50000000000006</v>
      </c>
      <c r="K118" s="30">
        <f>G118*0.03</f>
        <v>0</v>
      </c>
      <c r="L118" s="22">
        <f>K118*F118</f>
        <v>0</v>
      </c>
      <c r="M118" s="200">
        <f>G118+I118+K118</f>
        <v>75</v>
      </c>
      <c r="N118" s="22">
        <f>L118+J118+H118</f>
        <v>370.50000000000006</v>
      </c>
    </row>
    <row r="119" spans="1:14" s="19" customFormat="1" ht="17.25" customHeight="1">
      <c r="A119" s="31"/>
      <c r="B119" s="2"/>
      <c r="C119" s="32" t="s">
        <v>48</v>
      </c>
      <c r="D119" s="20" t="s">
        <v>6</v>
      </c>
      <c r="E119" s="64">
        <v>1.03</v>
      </c>
      <c r="F119" s="87">
        <f>((8+5)*13)*E119/1000</f>
        <v>0.17407</v>
      </c>
      <c r="G119" s="30">
        <f>900*1.75/1.18</f>
        <v>1334.7457627118645</v>
      </c>
      <c r="H119" s="22">
        <f>G119*F119</f>
        <v>232.33919491525424</v>
      </c>
      <c r="I119" s="30"/>
      <c r="J119" s="22">
        <f>I119*F119</f>
        <v>0</v>
      </c>
      <c r="K119" s="30">
        <f>G119*0.03</f>
        <v>40.04237288135593</v>
      </c>
      <c r="L119" s="22">
        <f>K119*F119</f>
        <v>6.970175847457627</v>
      </c>
      <c r="M119" s="200">
        <f>G119+I119+K119</f>
        <v>1374.7881355932204</v>
      </c>
      <c r="N119" s="22">
        <f>L119+J119+H119</f>
        <v>239.30937076271186</v>
      </c>
    </row>
    <row r="120" spans="1:14" s="19" customFormat="1" ht="17.25" customHeight="1">
      <c r="A120" s="31"/>
      <c r="B120" s="2"/>
      <c r="C120" s="12" t="s">
        <v>103</v>
      </c>
      <c r="D120" s="31" t="s">
        <v>49</v>
      </c>
      <c r="E120" s="65">
        <v>1.015</v>
      </c>
      <c r="F120" s="75">
        <f>E120*F117</f>
        <v>5.0141</v>
      </c>
      <c r="G120" s="30">
        <f>136/1.18</f>
        <v>115.2542372881356</v>
      </c>
      <c r="H120" s="22">
        <f>G120*F120</f>
        <v>577.8962711864407</v>
      </c>
      <c r="I120" s="30"/>
      <c r="J120" s="22">
        <f>I120*F120</f>
        <v>0</v>
      </c>
      <c r="K120" s="30">
        <f>25</f>
        <v>25</v>
      </c>
      <c r="L120" s="22">
        <f>K120*F120</f>
        <v>125.3525</v>
      </c>
      <c r="M120" s="200">
        <f>G120+I120+K120</f>
        <v>140.25423728813558</v>
      </c>
      <c r="N120" s="22">
        <f>L120+J120+H120</f>
        <v>703.2487711864406</v>
      </c>
    </row>
    <row r="121" spans="1:14" s="19" customFormat="1" ht="17.25" customHeight="1">
      <c r="A121" s="31"/>
      <c r="B121" s="10"/>
      <c r="C121" s="32" t="s">
        <v>37</v>
      </c>
      <c r="D121" s="31" t="s">
        <v>192</v>
      </c>
      <c r="E121" s="64">
        <f>160/100</f>
        <v>1.6</v>
      </c>
      <c r="F121" s="75">
        <f>E121*F117</f>
        <v>7.904000000000001</v>
      </c>
      <c r="G121" s="30">
        <f>23/1.18</f>
        <v>19.491525423728813</v>
      </c>
      <c r="H121" s="22">
        <f>G121*F121</f>
        <v>154.06101694915256</v>
      </c>
      <c r="I121" s="30"/>
      <c r="J121" s="22">
        <f>I121*F121</f>
        <v>0</v>
      </c>
      <c r="K121" s="30">
        <f>G121*0.03</f>
        <v>0.5847457627118644</v>
      </c>
      <c r="L121" s="22">
        <f>K121*F121</f>
        <v>4.621830508474576</v>
      </c>
      <c r="M121" s="200">
        <f>G121+I121+K121</f>
        <v>20.076271186440678</v>
      </c>
      <c r="N121" s="22">
        <f>L121+J121+H121</f>
        <v>158.68284745762713</v>
      </c>
    </row>
    <row r="122" spans="1:16" s="23" customFormat="1" ht="17.25" customHeight="1">
      <c r="A122" s="33"/>
      <c r="B122" s="195"/>
      <c r="C122" s="12" t="s">
        <v>32</v>
      </c>
      <c r="D122" s="31" t="s">
        <v>49</v>
      </c>
      <c r="E122" s="64">
        <f>(1.83)/100</f>
        <v>0.0183</v>
      </c>
      <c r="F122" s="75">
        <f>E122*F117</f>
        <v>0.09040200000000001</v>
      </c>
      <c r="G122" s="100">
        <f>540/1.18</f>
        <v>457.6271186440678</v>
      </c>
      <c r="H122" s="22">
        <f>G122*F122</f>
        <v>41.370406779661025</v>
      </c>
      <c r="I122" s="30"/>
      <c r="J122" s="22">
        <f>I122*F122</f>
        <v>0</v>
      </c>
      <c r="K122" s="30">
        <f>G122*0.03</f>
        <v>13.728813559322035</v>
      </c>
      <c r="L122" s="22">
        <f>K122*F122</f>
        <v>1.2411122033898307</v>
      </c>
      <c r="M122" s="200">
        <f>G122+I122+K122</f>
        <v>471.35593220338984</v>
      </c>
      <c r="N122" s="22">
        <f>L122+J122+H122</f>
        <v>42.61151898305086</v>
      </c>
      <c r="P122" s="77"/>
    </row>
    <row r="123" spans="1:14" s="16" customFormat="1" ht="24" customHeight="1">
      <c r="A123" s="59">
        <f>A117+1</f>
        <v>20</v>
      </c>
      <c r="B123" s="80" t="s">
        <v>127</v>
      </c>
      <c r="C123" s="14" t="s">
        <v>143</v>
      </c>
      <c r="D123" s="14" t="s">
        <v>6</v>
      </c>
      <c r="E123" s="30"/>
      <c r="F123" s="199">
        <f>SUM(F125:F130)</f>
        <v>2.08163</v>
      </c>
      <c r="G123" s="36"/>
      <c r="H123" s="36"/>
      <c r="I123" s="36"/>
      <c r="J123" s="49"/>
      <c r="K123" s="36"/>
      <c r="L123" s="49"/>
      <c r="M123" s="212"/>
      <c r="N123" s="22"/>
    </row>
    <row r="124" spans="1:14" s="52" customFormat="1" ht="17.25" customHeight="1">
      <c r="A124" s="32"/>
      <c r="B124" s="2"/>
      <c r="C124" s="12" t="s">
        <v>12</v>
      </c>
      <c r="D124" s="20" t="s">
        <v>6</v>
      </c>
      <c r="E124" s="45">
        <v>1</v>
      </c>
      <c r="F124" s="69">
        <f>F123*E124</f>
        <v>2.08163</v>
      </c>
      <c r="G124" s="30">
        <v>0</v>
      </c>
      <c r="H124" s="22">
        <f aca="true" t="shared" si="41" ref="H124:H133">G124*F124</f>
        <v>0</v>
      </c>
      <c r="I124" s="61">
        <f>600*1.25</f>
        <v>750</v>
      </c>
      <c r="J124" s="22">
        <f aca="true" t="shared" si="42" ref="J124:J133">I124*F124</f>
        <v>1561.2225</v>
      </c>
      <c r="K124" s="30">
        <f aca="true" t="shared" si="43" ref="K124:K132">G124*0.03</f>
        <v>0</v>
      </c>
      <c r="L124" s="22">
        <f aca="true" t="shared" si="44" ref="L124:L133">K124*F124</f>
        <v>0</v>
      </c>
      <c r="M124" s="200">
        <f aca="true" t="shared" si="45" ref="M124:M133">G124+I124+K124</f>
        <v>750</v>
      </c>
      <c r="N124" s="22">
        <f aca="true" t="shared" si="46" ref="N124:N133">L124+J124+H124</f>
        <v>1561.2225</v>
      </c>
    </row>
    <row r="125" spans="1:14" s="41" customFormat="1" ht="18" customHeight="1">
      <c r="A125" s="14"/>
      <c r="B125" s="2"/>
      <c r="C125" s="20" t="s">
        <v>144</v>
      </c>
      <c r="D125" s="20" t="s">
        <v>6</v>
      </c>
      <c r="E125" s="64">
        <v>1.03</v>
      </c>
      <c r="F125" s="102">
        <f>596/1000*E125</f>
        <v>0.61388</v>
      </c>
      <c r="G125" s="30">
        <f>2700/1.18</f>
        <v>2288.135593220339</v>
      </c>
      <c r="H125" s="22">
        <f t="shared" si="41"/>
        <v>1404.6406779661017</v>
      </c>
      <c r="I125" s="12"/>
      <c r="J125" s="22">
        <f t="shared" si="42"/>
        <v>0</v>
      </c>
      <c r="K125" s="30">
        <f t="shared" si="43"/>
        <v>68.64406779661017</v>
      </c>
      <c r="L125" s="22">
        <f t="shared" si="44"/>
        <v>42.13922033898305</v>
      </c>
      <c r="M125" s="200">
        <f t="shared" si="45"/>
        <v>2356.7796610169494</v>
      </c>
      <c r="N125" s="22">
        <f t="shared" si="46"/>
        <v>1446.7798983050848</v>
      </c>
    </row>
    <row r="126" spans="1:14" s="41" customFormat="1" ht="18" customHeight="1">
      <c r="A126" s="14"/>
      <c r="B126" s="2"/>
      <c r="C126" s="20" t="s">
        <v>195</v>
      </c>
      <c r="D126" s="20" t="s">
        <v>6</v>
      </c>
      <c r="E126" s="64">
        <v>1.03</v>
      </c>
      <c r="F126" s="102">
        <f>336/1000*E126</f>
        <v>0.34608000000000005</v>
      </c>
      <c r="G126" s="30">
        <f>2500/1.18</f>
        <v>2118.64406779661</v>
      </c>
      <c r="H126" s="22">
        <f t="shared" si="41"/>
        <v>733.220338983051</v>
      </c>
      <c r="I126" s="12"/>
      <c r="J126" s="22">
        <f t="shared" si="42"/>
        <v>0</v>
      </c>
      <c r="K126" s="30">
        <f t="shared" si="43"/>
        <v>63.559322033898304</v>
      </c>
      <c r="L126" s="22">
        <f t="shared" si="44"/>
        <v>21.99661016949153</v>
      </c>
      <c r="M126" s="200">
        <f t="shared" si="45"/>
        <v>2182.2033898305085</v>
      </c>
      <c r="N126" s="22">
        <f t="shared" si="46"/>
        <v>755.2169491525425</v>
      </c>
    </row>
    <row r="127" spans="1:14" s="41" customFormat="1" ht="18" customHeight="1">
      <c r="A127" s="14"/>
      <c r="B127" s="2"/>
      <c r="C127" s="20" t="s">
        <v>145</v>
      </c>
      <c r="D127" s="20" t="s">
        <v>6</v>
      </c>
      <c r="E127" s="64">
        <v>1.03</v>
      </c>
      <c r="F127" s="102">
        <f>464/1000*E127</f>
        <v>0.47792</v>
      </c>
      <c r="G127" s="30">
        <f>2500/1.18</f>
        <v>2118.64406779661</v>
      </c>
      <c r="H127" s="22">
        <f t="shared" si="41"/>
        <v>1012.542372881356</v>
      </c>
      <c r="I127" s="12"/>
      <c r="J127" s="22">
        <f t="shared" si="42"/>
        <v>0</v>
      </c>
      <c r="K127" s="30">
        <f t="shared" si="43"/>
        <v>63.559322033898304</v>
      </c>
      <c r="L127" s="22">
        <f t="shared" si="44"/>
        <v>30.37627118644068</v>
      </c>
      <c r="M127" s="200">
        <f t="shared" si="45"/>
        <v>2182.2033898305085</v>
      </c>
      <c r="N127" s="22">
        <f t="shared" si="46"/>
        <v>1042.9186440677965</v>
      </c>
    </row>
    <row r="128" spans="1:14" s="41" customFormat="1" ht="18" customHeight="1">
      <c r="A128" s="14"/>
      <c r="B128" s="2"/>
      <c r="C128" s="20" t="s">
        <v>193</v>
      </c>
      <c r="D128" s="20" t="s">
        <v>6</v>
      </c>
      <c r="E128" s="64">
        <v>1.03</v>
      </c>
      <c r="F128" s="102">
        <f>255/1000*E128</f>
        <v>0.26265</v>
      </c>
      <c r="G128" s="30">
        <f>2500/1.18</f>
        <v>2118.64406779661</v>
      </c>
      <c r="H128" s="22">
        <f t="shared" si="41"/>
        <v>556.4618644067797</v>
      </c>
      <c r="I128" s="12"/>
      <c r="J128" s="22">
        <f t="shared" si="42"/>
        <v>0</v>
      </c>
      <c r="K128" s="30">
        <f t="shared" si="43"/>
        <v>63.559322033898304</v>
      </c>
      <c r="L128" s="22">
        <f t="shared" si="44"/>
        <v>16.69385593220339</v>
      </c>
      <c r="M128" s="200">
        <f t="shared" si="45"/>
        <v>2182.2033898305085</v>
      </c>
      <c r="N128" s="22">
        <f t="shared" si="46"/>
        <v>573.1557203389831</v>
      </c>
    </row>
    <row r="129" spans="1:14" s="41" customFormat="1" ht="15.75">
      <c r="A129" s="14"/>
      <c r="B129" s="2"/>
      <c r="C129" s="20" t="s">
        <v>78</v>
      </c>
      <c r="D129" s="20" t="s">
        <v>6</v>
      </c>
      <c r="E129" s="64">
        <v>1.03</v>
      </c>
      <c r="F129" s="87">
        <f>(250)*E129/1000</f>
        <v>0.2575</v>
      </c>
      <c r="G129" s="30">
        <f>2250/1.18</f>
        <v>1906.7796610169491</v>
      </c>
      <c r="H129" s="22">
        <f t="shared" si="41"/>
        <v>490.9957627118644</v>
      </c>
      <c r="I129" s="30"/>
      <c r="J129" s="22">
        <f t="shared" si="42"/>
        <v>0</v>
      </c>
      <c r="K129" s="30">
        <f t="shared" si="43"/>
        <v>57.20338983050847</v>
      </c>
      <c r="L129" s="22">
        <f t="shared" si="44"/>
        <v>14.72987288135593</v>
      </c>
      <c r="M129" s="200">
        <f t="shared" si="45"/>
        <v>1963.9830508474577</v>
      </c>
      <c r="N129" s="22">
        <f t="shared" si="46"/>
        <v>505.7256355932203</v>
      </c>
    </row>
    <row r="130" spans="1:14" s="41" customFormat="1" ht="15.75">
      <c r="A130" s="14"/>
      <c r="B130" s="2"/>
      <c r="C130" s="20" t="s">
        <v>146</v>
      </c>
      <c r="D130" s="20" t="s">
        <v>6</v>
      </c>
      <c r="E130" s="64">
        <v>1.03</v>
      </c>
      <c r="F130" s="87">
        <f>(120)*E130/1000</f>
        <v>0.12360000000000002</v>
      </c>
      <c r="G130" s="30">
        <f>2250/1.18</f>
        <v>1906.7796610169491</v>
      </c>
      <c r="H130" s="22">
        <f t="shared" si="41"/>
        <v>235.67796610169495</v>
      </c>
      <c r="I130" s="30"/>
      <c r="J130" s="22">
        <f t="shared" si="42"/>
        <v>0</v>
      </c>
      <c r="K130" s="30">
        <f t="shared" si="43"/>
        <v>57.20338983050847</v>
      </c>
      <c r="L130" s="22">
        <f t="shared" si="44"/>
        <v>7.070338983050847</v>
      </c>
      <c r="M130" s="200">
        <f t="shared" si="45"/>
        <v>1963.9830508474577</v>
      </c>
      <c r="N130" s="22">
        <f t="shared" si="46"/>
        <v>242.7483050847458</v>
      </c>
    </row>
    <row r="131" spans="1:16" s="23" customFormat="1" ht="18" customHeight="1">
      <c r="A131" s="33"/>
      <c r="B131" s="9"/>
      <c r="C131" s="32" t="s">
        <v>34</v>
      </c>
      <c r="D131" s="32" t="s">
        <v>81</v>
      </c>
      <c r="E131" s="64">
        <v>2</v>
      </c>
      <c r="F131" s="69">
        <f>E131*F123</f>
        <v>4.16326</v>
      </c>
      <c r="G131" s="30">
        <f>16/1.18/5</f>
        <v>2.7118644067796613</v>
      </c>
      <c r="H131" s="22">
        <f t="shared" si="41"/>
        <v>11.290196610169493</v>
      </c>
      <c r="I131" s="30"/>
      <c r="J131" s="22">
        <f t="shared" si="42"/>
        <v>0</v>
      </c>
      <c r="K131" s="30">
        <f t="shared" si="43"/>
        <v>0.08135593220338984</v>
      </c>
      <c r="L131" s="22">
        <f t="shared" si="44"/>
        <v>0.3387058983050848</v>
      </c>
      <c r="M131" s="200">
        <f t="shared" si="45"/>
        <v>2.793220338983051</v>
      </c>
      <c r="N131" s="22">
        <f t="shared" si="46"/>
        <v>11.628902508474578</v>
      </c>
      <c r="P131" s="77"/>
    </row>
    <row r="132" spans="1:16" s="23" customFormat="1" ht="18" customHeight="1">
      <c r="A132" s="33"/>
      <c r="B132" s="9"/>
      <c r="C132" s="32" t="s">
        <v>85</v>
      </c>
      <c r="D132" s="20" t="s">
        <v>10</v>
      </c>
      <c r="E132" s="64">
        <v>18</v>
      </c>
      <c r="F132" s="54">
        <f>E132*F123</f>
        <v>37.46934</v>
      </c>
      <c r="G132" s="30">
        <f>10/1.18</f>
        <v>8.474576271186441</v>
      </c>
      <c r="H132" s="22">
        <f t="shared" si="41"/>
        <v>317.53677966101696</v>
      </c>
      <c r="I132" s="30"/>
      <c r="J132" s="22">
        <f t="shared" si="42"/>
        <v>0</v>
      </c>
      <c r="K132" s="30">
        <f t="shared" si="43"/>
        <v>0.2542372881355932</v>
      </c>
      <c r="L132" s="22">
        <f t="shared" si="44"/>
        <v>9.526103389830508</v>
      </c>
      <c r="M132" s="200">
        <f t="shared" si="45"/>
        <v>8.728813559322035</v>
      </c>
      <c r="N132" s="22">
        <f t="shared" si="46"/>
        <v>327.06288305084746</v>
      </c>
      <c r="P132" s="77"/>
    </row>
    <row r="133" spans="1:16" s="23" customFormat="1" ht="17.25" customHeight="1">
      <c r="A133" s="33"/>
      <c r="B133" s="195"/>
      <c r="C133" s="32" t="s">
        <v>131</v>
      </c>
      <c r="D133" s="9" t="s">
        <v>80</v>
      </c>
      <c r="E133" s="64">
        <f>0.6+0.75</f>
        <v>1.35</v>
      </c>
      <c r="F133" s="54">
        <f>F123*E133</f>
        <v>2.8102005</v>
      </c>
      <c r="G133" s="30">
        <v>0</v>
      </c>
      <c r="H133" s="22">
        <f t="shared" si="41"/>
        <v>0</v>
      </c>
      <c r="I133" s="30"/>
      <c r="J133" s="22">
        <f t="shared" si="42"/>
        <v>0</v>
      </c>
      <c r="K133" s="30">
        <f>450/8</f>
        <v>56.25</v>
      </c>
      <c r="L133" s="22">
        <f t="shared" si="44"/>
        <v>158.07377812500002</v>
      </c>
      <c r="M133" s="200">
        <f t="shared" si="45"/>
        <v>56.25</v>
      </c>
      <c r="N133" s="22">
        <f t="shared" si="46"/>
        <v>158.07377812500002</v>
      </c>
      <c r="P133" s="77"/>
    </row>
    <row r="134" spans="1:16" s="23" customFormat="1" ht="31.5">
      <c r="A134" s="88">
        <f>A123+1</f>
        <v>21</v>
      </c>
      <c r="B134" s="117" t="s">
        <v>118</v>
      </c>
      <c r="C134" s="95" t="s">
        <v>156</v>
      </c>
      <c r="D134" s="95" t="s">
        <v>119</v>
      </c>
      <c r="E134" s="44"/>
      <c r="F134" s="199">
        <f>8*0.22*2</f>
        <v>3.52</v>
      </c>
      <c r="G134" s="33"/>
      <c r="H134" s="33"/>
      <c r="I134" s="35"/>
      <c r="J134" s="33"/>
      <c r="K134" s="35"/>
      <c r="L134" s="33"/>
      <c r="M134" s="213"/>
      <c r="N134" s="34"/>
      <c r="P134" s="96"/>
    </row>
    <row r="135" spans="1:16" s="23" customFormat="1" ht="18" customHeight="1">
      <c r="A135" s="33"/>
      <c r="B135" s="9"/>
      <c r="C135" s="89" t="s">
        <v>12</v>
      </c>
      <c r="D135" s="94" t="s">
        <v>120</v>
      </c>
      <c r="E135" s="64">
        <v>1</v>
      </c>
      <c r="F135" s="54">
        <f>F134*E135</f>
        <v>3.52</v>
      </c>
      <c r="G135" s="30">
        <v>0</v>
      </c>
      <c r="H135" s="22">
        <f aca="true" t="shared" si="47" ref="H135:H140">G135*F135</f>
        <v>0</v>
      </c>
      <c r="I135" s="92">
        <f>120*1.25</f>
        <v>150</v>
      </c>
      <c r="J135" s="22">
        <f aca="true" t="shared" si="48" ref="J135:J140">I135*F135</f>
        <v>528</v>
      </c>
      <c r="K135" s="92"/>
      <c r="L135" s="22">
        <f aca="true" t="shared" si="49" ref="L135:L140">K135*F135</f>
        <v>0</v>
      </c>
      <c r="M135" s="200">
        <f aca="true" t="shared" si="50" ref="M135:M140">G135+I135+K135</f>
        <v>150</v>
      </c>
      <c r="N135" s="22">
        <f aca="true" t="shared" si="51" ref="N135:N140">L135+J135+H135</f>
        <v>528</v>
      </c>
      <c r="P135" s="96"/>
    </row>
    <row r="136" spans="1:16" s="23" customFormat="1" ht="17.25" customHeight="1">
      <c r="A136" s="33"/>
      <c r="B136" s="195"/>
      <c r="C136" s="94" t="s">
        <v>117</v>
      </c>
      <c r="D136" s="94" t="s">
        <v>120</v>
      </c>
      <c r="E136" s="45">
        <f>101.5/100</f>
        <v>1.015</v>
      </c>
      <c r="F136" s="75">
        <f>E136*F134</f>
        <v>3.5727999999999995</v>
      </c>
      <c r="G136" s="30">
        <f>136/1.18</f>
        <v>115.2542372881356</v>
      </c>
      <c r="H136" s="22">
        <f t="shared" si="47"/>
        <v>411.7803389830508</v>
      </c>
      <c r="I136" s="30"/>
      <c r="J136" s="22">
        <f t="shared" si="48"/>
        <v>0</v>
      </c>
      <c r="K136" s="30">
        <f>25</f>
        <v>25</v>
      </c>
      <c r="L136" s="22">
        <f t="shared" si="49"/>
        <v>89.32</v>
      </c>
      <c r="M136" s="200">
        <f t="shared" si="50"/>
        <v>140.25423728813558</v>
      </c>
      <c r="N136" s="22">
        <f t="shared" si="51"/>
        <v>501.1003389830508</v>
      </c>
      <c r="P136" s="96"/>
    </row>
    <row r="137" spans="1:14" s="19" customFormat="1" ht="17.25" customHeight="1">
      <c r="A137" s="31"/>
      <c r="B137" s="2"/>
      <c r="C137" s="32" t="s">
        <v>48</v>
      </c>
      <c r="D137" s="20" t="s">
        <v>6</v>
      </c>
      <c r="E137" s="64">
        <v>1.03</v>
      </c>
      <c r="F137" s="87">
        <f>(F134*120)*E137/1000</f>
        <v>0.435072</v>
      </c>
      <c r="G137" s="30">
        <f>900*1.75/1.18</f>
        <v>1334.7457627118645</v>
      </c>
      <c r="H137" s="22">
        <f t="shared" si="47"/>
        <v>580.7105084745763</v>
      </c>
      <c r="I137" s="30"/>
      <c r="J137" s="22">
        <f t="shared" si="48"/>
        <v>0</v>
      </c>
      <c r="K137" s="30">
        <f>G137*0.03</f>
        <v>40.04237288135593</v>
      </c>
      <c r="L137" s="22">
        <f t="shared" si="49"/>
        <v>17.42131525423729</v>
      </c>
      <c r="M137" s="200">
        <f t="shared" si="50"/>
        <v>1374.7881355932204</v>
      </c>
      <c r="N137" s="22">
        <f t="shared" si="51"/>
        <v>598.1318237288135</v>
      </c>
    </row>
    <row r="138" spans="1:14" s="99" customFormat="1" ht="17.25" customHeight="1">
      <c r="A138" s="98"/>
      <c r="B138" s="10"/>
      <c r="C138" s="89" t="s">
        <v>121</v>
      </c>
      <c r="D138" s="20" t="s">
        <v>6</v>
      </c>
      <c r="E138" s="64">
        <v>1.03</v>
      </c>
      <c r="F138" s="87">
        <f>(F134*30)*E138/1000</f>
        <v>0.108768</v>
      </c>
      <c r="G138" s="30">
        <f>920*1.75/1.18</f>
        <v>1364.406779661017</v>
      </c>
      <c r="H138" s="22">
        <f t="shared" si="47"/>
        <v>148.4037966101695</v>
      </c>
      <c r="I138" s="30"/>
      <c r="J138" s="22">
        <f t="shared" si="48"/>
        <v>0</v>
      </c>
      <c r="K138" s="30">
        <f>G138*0.03</f>
        <v>40.93220338983051</v>
      </c>
      <c r="L138" s="22">
        <f t="shared" si="49"/>
        <v>4.452113898305085</v>
      </c>
      <c r="M138" s="200">
        <f t="shared" si="50"/>
        <v>1405.3389830508474</v>
      </c>
      <c r="N138" s="22">
        <f t="shared" si="51"/>
        <v>152.85591050847458</v>
      </c>
    </row>
    <row r="139" spans="1:16" s="23" customFormat="1" ht="18" customHeight="1">
      <c r="A139" s="33"/>
      <c r="B139" s="9"/>
      <c r="C139" s="89" t="s">
        <v>37</v>
      </c>
      <c r="D139" s="89" t="s">
        <v>122</v>
      </c>
      <c r="E139" s="64">
        <v>0.83</v>
      </c>
      <c r="F139" s="204">
        <f>E139*F134</f>
        <v>2.9215999999999998</v>
      </c>
      <c r="G139" s="30">
        <f>23/1.18</f>
        <v>19.491525423728813</v>
      </c>
      <c r="H139" s="22">
        <f t="shared" si="47"/>
        <v>56.946440677966095</v>
      </c>
      <c r="I139" s="30"/>
      <c r="J139" s="22">
        <f t="shared" si="48"/>
        <v>0</v>
      </c>
      <c r="K139" s="30">
        <f>G139*0.03</f>
        <v>0.5847457627118644</v>
      </c>
      <c r="L139" s="22">
        <f t="shared" si="49"/>
        <v>1.7083932203389829</v>
      </c>
      <c r="M139" s="200">
        <f t="shared" si="50"/>
        <v>20.076271186440678</v>
      </c>
      <c r="N139" s="22">
        <f t="shared" si="51"/>
        <v>58.65483389830508</v>
      </c>
      <c r="P139" s="96"/>
    </row>
    <row r="140" spans="1:16" s="23" customFormat="1" ht="18" customHeight="1">
      <c r="A140" s="33"/>
      <c r="B140" s="9"/>
      <c r="C140" s="89" t="s">
        <v>32</v>
      </c>
      <c r="D140" s="89" t="s">
        <v>120</v>
      </c>
      <c r="E140" s="64">
        <f>(0.5+1.51+0.16)/100</f>
        <v>0.0217</v>
      </c>
      <c r="F140" s="204">
        <f>F134*E140</f>
        <v>0.07638400000000001</v>
      </c>
      <c r="G140" s="100">
        <f>540/1.18</f>
        <v>457.6271186440678</v>
      </c>
      <c r="H140" s="22">
        <f t="shared" si="47"/>
        <v>34.95538983050848</v>
      </c>
      <c r="I140" s="30"/>
      <c r="J140" s="22">
        <f t="shared" si="48"/>
        <v>0</v>
      </c>
      <c r="K140" s="30">
        <f>G140*0.03</f>
        <v>13.728813559322035</v>
      </c>
      <c r="L140" s="22">
        <f t="shared" si="49"/>
        <v>1.0486616949152543</v>
      </c>
      <c r="M140" s="200">
        <f t="shared" si="50"/>
        <v>471.35593220338984</v>
      </c>
      <c r="N140" s="22">
        <f t="shared" si="51"/>
        <v>36.00405152542373</v>
      </c>
      <c r="P140" s="96"/>
    </row>
    <row r="141" spans="1:14" s="16" customFormat="1" ht="31.5">
      <c r="A141" s="59">
        <f>A134+1</f>
        <v>22</v>
      </c>
      <c r="B141" s="80" t="s">
        <v>30</v>
      </c>
      <c r="C141" s="14" t="s">
        <v>82</v>
      </c>
      <c r="D141" s="14" t="s">
        <v>153</v>
      </c>
      <c r="E141" s="30"/>
      <c r="F141" s="199">
        <v>220</v>
      </c>
      <c r="G141" s="36"/>
      <c r="H141" s="36"/>
      <c r="I141" s="36"/>
      <c r="J141" s="49"/>
      <c r="K141" s="36"/>
      <c r="L141" s="49"/>
      <c r="M141" s="212"/>
      <c r="N141" s="22"/>
    </row>
    <row r="142" spans="1:14" s="19" customFormat="1" ht="18">
      <c r="A142" s="116"/>
      <c r="B142" s="10"/>
      <c r="C142" s="31" t="s">
        <v>12</v>
      </c>
      <c r="D142" s="89" t="s">
        <v>122</v>
      </c>
      <c r="E142" s="24">
        <v>1</v>
      </c>
      <c r="F142" s="54">
        <f>F141*E142</f>
        <v>220</v>
      </c>
      <c r="G142" s="30">
        <v>0</v>
      </c>
      <c r="H142" s="22">
        <f>G142*F142</f>
        <v>0</v>
      </c>
      <c r="I142" s="45">
        <v>5</v>
      </c>
      <c r="J142" s="40">
        <f>I142*F142</f>
        <v>1100</v>
      </c>
      <c r="K142" s="30">
        <f>G142*0.03</f>
        <v>0</v>
      </c>
      <c r="L142" s="40">
        <f>K142*F142</f>
        <v>0</v>
      </c>
      <c r="M142" s="200">
        <f>G142+I142+K142</f>
        <v>5</v>
      </c>
      <c r="N142" s="22">
        <f>L142+J142+H142</f>
        <v>1100</v>
      </c>
    </row>
    <row r="143" spans="1:14" s="39" customFormat="1" ht="15.75">
      <c r="A143" s="14"/>
      <c r="B143" s="2"/>
      <c r="C143" s="37" t="s">
        <v>83</v>
      </c>
      <c r="D143" s="32" t="s">
        <v>81</v>
      </c>
      <c r="E143" s="30">
        <f>(20.8+0.2)*1.3/100</f>
        <v>0.273</v>
      </c>
      <c r="F143" s="40">
        <f>E143*F141</f>
        <v>60.06</v>
      </c>
      <c r="G143" s="30">
        <f>5</f>
        <v>5</v>
      </c>
      <c r="H143" s="22">
        <f>G143*F143</f>
        <v>300.3</v>
      </c>
      <c r="I143" s="12"/>
      <c r="J143" s="40">
        <f>I143*F143</f>
        <v>0</v>
      </c>
      <c r="K143" s="30">
        <f>G143*0.03</f>
        <v>0.15</v>
      </c>
      <c r="L143" s="40">
        <f>K143*F143</f>
        <v>9.009</v>
      </c>
      <c r="M143" s="200">
        <f>G143+I143+K143</f>
        <v>5.15</v>
      </c>
      <c r="N143" s="22">
        <f>L143+J143+H143</f>
        <v>309.309</v>
      </c>
    </row>
    <row r="144" spans="1:14" s="39" customFormat="1" ht="15.75">
      <c r="A144" s="14"/>
      <c r="B144" s="2"/>
      <c r="C144" s="37" t="s">
        <v>84</v>
      </c>
      <c r="D144" s="32" t="s">
        <v>81</v>
      </c>
      <c r="E144" s="30">
        <f>0.15</f>
        <v>0.15</v>
      </c>
      <c r="F144" s="40">
        <f>E144*F141</f>
        <v>33</v>
      </c>
      <c r="G144" s="30">
        <v>4</v>
      </c>
      <c r="H144" s="22">
        <f>G144*F144</f>
        <v>132</v>
      </c>
      <c r="I144" s="12"/>
      <c r="J144" s="40">
        <f>I144*F144</f>
        <v>0</v>
      </c>
      <c r="K144" s="30">
        <f>G144*0.03</f>
        <v>0.12</v>
      </c>
      <c r="L144" s="40">
        <f>K144*F144</f>
        <v>3.96</v>
      </c>
      <c r="M144" s="200">
        <f>G144+I144+K144</f>
        <v>4.12</v>
      </c>
      <c r="N144" s="22">
        <f>L144+J144+H144</f>
        <v>135.96</v>
      </c>
    </row>
    <row r="145" spans="1:14" ht="18" customHeight="1">
      <c r="A145" s="25"/>
      <c r="B145" s="58"/>
      <c r="C145" s="26"/>
      <c r="D145" s="25"/>
      <c r="E145" s="28"/>
      <c r="F145" s="25"/>
      <c r="G145" s="25"/>
      <c r="H145" s="25"/>
      <c r="I145" s="27"/>
      <c r="J145" s="25"/>
      <c r="K145" s="27"/>
      <c r="L145" s="25"/>
      <c r="M145" s="211"/>
      <c r="N145" s="28"/>
    </row>
    <row r="146" spans="1:15" s="50" customFormat="1" ht="30" customHeight="1">
      <c r="A146" s="59">
        <f>A141+1</f>
        <v>23</v>
      </c>
      <c r="B146" s="117" t="s">
        <v>182</v>
      </c>
      <c r="C146" s="42" t="s">
        <v>183</v>
      </c>
      <c r="D146" s="14" t="s">
        <v>50</v>
      </c>
      <c r="E146" s="30"/>
      <c r="F146" s="74">
        <f>F149*0.2</f>
        <v>40.54</v>
      </c>
      <c r="G146" s="36"/>
      <c r="H146" s="44"/>
      <c r="I146" s="36"/>
      <c r="J146" s="49"/>
      <c r="K146" s="36"/>
      <c r="L146" s="49"/>
      <c r="M146" s="212"/>
      <c r="N146" s="62"/>
      <c r="O146" s="55"/>
    </row>
    <row r="147" spans="1:14" s="52" customFormat="1" ht="17.25" customHeight="1">
      <c r="A147" s="32"/>
      <c r="B147" s="2"/>
      <c r="C147" s="43" t="s">
        <v>12</v>
      </c>
      <c r="D147" s="20" t="s">
        <v>49</v>
      </c>
      <c r="E147" s="64">
        <v>1</v>
      </c>
      <c r="F147" s="75">
        <f>E147*F146</f>
        <v>40.54</v>
      </c>
      <c r="G147" s="30">
        <v>0</v>
      </c>
      <c r="H147" s="22">
        <f>G147*F147</f>
        <v>0</v>
      </c>
      <c r="I147" s="61">
        <v>2.5</v>
      </c>
      <c r="J147" s="22">
        <f>I147*F147</f>
        <v>101.35</v>
      </c>
      <c r="K147" s="30">
        <f>G147*0.03</f>
        <v>0</v>
      </c>
      <c r="L147" s="22">
        <f>K147*F147</f>
        <v>0</v>
      </c>
      <c r="M147" s="200">
        <f>G147+I147+K147</f>
        <v>2.5</v>
      </c>
      <c r="N147" s="22">
        <f>L147+J147+H147</f>
        <v>101.35</v>
      </c>
    </row>
    <row r="148" spans="1:14" s="19" customFormat="1" ht="17.25" customHeight="1">
      <c r="A148" s="31"/>
      <c r="B148" s="2"/>
      <c r="C148" s="43" t="s">
        <v>96</v>
      </c>
      <c r="D148" s="20" t="s">
        <v>49</v>
      </c>
      <c r="E148" s="64">
        <v>1.15</v>
      </c>
      <c r="F148" s="75">
        <f>E148*F146</f>
        <v>46.620999999999995</v>
      </c>
      <c r="G148" s="30">
        <f>40/1.18</f>
        <v>33.898305084745765</v>
      </c>
      <c r="H148" s="22">
        <f>G148*F148</f>
        <v>1580.3728813559321</v>
      </c>
      <c r="I148" s="30"/>
      <c r="J148" s="22">
        <f>I148*F148</f>
        <v>0</v>
      </c>
      <c r="K148" s="30">
        <f>G148*0.03</f>
        <v>1.0169491525423728</v>
      </c>
      <c r="L148" s="22">
        <f>K148*F148</f>
        <v>47.41118644067796</v>
      </c>
      <c r="M148" s="200">
        <f>G148+I148+K148</f>
        <v>34.91525423728814</v>
      </c>
      <c r="N148" s="22">
        <f>L148+J148+H148</f>
        <v>1627.78406779661</v>
      </c>
    </row>
    <row r="149" spans="1:15" s="50" customFormat="1" ht="47.25">
      <c r="A149" s="59">
        <f>A146+1</f>
        <v>24</v>
      </c>
      <c r="B149" s="117" t="s">
        <v>180</v>
      </c>
      <c r="C149" s="11" t="s">
        <v>181</v>
      </c>
      <c r="D149" s="11" t="s">
        <v>153</v>
      </c>
      <c r="E149" s="44"/>
      <c r="F149" s="199">
        <f>72+130.7</f>
        <v>202.7</v>
      </c>
      <c r="G149" s="49"/>
      <c r="H149" s="49"/>
      <c r="I149" s="49"/>
      <c r="J149" s="44"/>
      <c r="K149" s="11"/>
      <c r="L149" s="11"/>
      <c r="M149" s="214"/>
      <c r="N149" s="11"/>
      <c r="O149" s="55"/>
    </row>
    <row r="150" spans="1:14" s="52" customFormat="1" ht="15.75" customHeight="1">
      <c r="A150" s="48"/>
      <c r="B150" s="9"/>
      <c r="C150" s="32" t="s">
        <v>12</v>
      </c>
      <c r="D150" s="89" t="s">
        <v>122</v>
      </c>
      <c r="E150" s="64">
        <v>1</v>
      </c>
      <c r="F150" s="56">
        <f>F149*E150</f>
        <v>202.7</v>
      </c>
      <c r="G150" s="30">
        <v>0</v>
      </c>
      <c r="H150" s="22">
        <f>G150*F150</f>
        <v>0</v>
      </c>
      <c r="I150" s="61">
        <v>5</v>
      </c>
      <c r="J150" s="40">
        <f>I150*F150</f>
        <v>1013.5</v>
      </c>
      <c r="K150" s="30">
        <f>G150*0.03</f>
        <v>0</v>
      </c>
      <c r="L150" s="40">
        <f>K150*F150</f>
        <v>0</v>
      </c>
      <c r="M150" s="200">
        <f>G150+I150+K150</f>
        <v>5</v>
      </c>
      <c r="N150" s="22">
        <f>L150+J150+H150</f>
        <v>1013.5</v>
      </c>
    </row>
    <row r="151" spans="1:14" s="53" customFormat="1" ht="15.75" customHeight="1">
      <c r="A151" s="48"/>
      <c r="B151" s="2"/>
      <c r="C151" s="32" t="s">
        <v>91</v>
      </c>
      <c r="D151" s="46" t="s">
        <v>49</v>
      </c>
      <c r="E151" s="56">
        <f>(2.04+0.51*6)/100</f>
        <v>0.051</v>
      </c>
      <c r="F151" s="56">
        <f>F149*E151</f>
        <v>10.337699999999998</v>
      </c>
      <c r="G151" s="30"/>
      <c r="H151" s="22"/>
      <c r="I151" s="61"/>
      <c r="J151" s="40"/>
      <c r="K151" s="30"/>
      <c r="L151" s="40"/>
      <c r="M151" s="200"/>
      <c r="N151" s="22"/>
    </row>
    <row r="152" spans="1:14" s="53" customFormat="1" ht="15.75" customHeight="1">
      <c r="A152" s="48"/>
      <c r="B152" s="2"/>
      <c r="C152" s="32" t="s">
        <v>89</v>
      </c>
      <c r="D152" s="46" t="s">
        <v>49</v>
      </c>
      <c r="E152" s="56">
        <v>1.21</v>
      </c>
      <c r="F152" s="56">
        <f>F151*E152</f>
        <v>12.508616999999997</v>
      </c>
      <c r="G152" s="30">
        <f>45/1.18</f>
        <v>38.13559322033898</v>
      </c>
      <c r="H152" s="22">
        <f>G152*F152</f>
        <v>477.0235296610168</v>
      </c>
      <c r="I152" s="61"/>
      <c r="J152" s="40">
        <f>I152*F152</f>
        <v>0</v>
      </c>
      <c r="K152" s="30">
        <f>G152*0.03</f>
        <v>1.1440677966101693</v>
      </c>
      <c r="L152" s="40">
        <f>K152*F152</f>
        <v>14.310705889830503</v>
      </c>
      <c r="M152" s="200">
        <f>G152+I152+K152</f>
        <v>39.27966101694915</v>
      </c>
      <c r="N152" s="22">
        <f>L152+J152+H152</f>
        <v>491.3342355508473</v>
      </c>
    </row>
    <row r="153" spans="1:14" s="53" customFormat="1" ht="15.75" customHeight="1">
      <c r="A153" s="48"/>
      <c r="B153" s="2"/>
      <c r="C153" s="32" t="s">
        <v>90</v>
      </c>
      <c r="D153" s="46" t="s">
        <v>6</v>
      </c>
      <c r="E153" s="67">
        <v>0.304</v>
      </c>
      <c r="F153" s="56">
        <f>E153*F151</f>
        <v>3.1426607999999994</v>
      </c>
      <c r="G153" s="30">
        <f>10.5*20/1.18</f>
        <v>177.96610169491527</v>
      </c>
      <c r="H153" s="22">
        <f>G153*F153</f>
        <v>559.2870915254236</v>
      </c>
      <c r="I153" s="61"/>
      <c r="J153" s="40">
        <f>I153*F153</f>
        <v>0</v>
      </c>
      <c r="K153" s="30">
        <f>G153*0.03</f>
        <v>5.338983050847458</v>
      </c>
      <c r="L153" s="40">
        <f>K153*F153</f>
        <v>16.778612745762707</v>
      </c>
      <c r="M153" s="200">
        <f>G153+I153+K153</f>
        <v>183.3050847457627</v>
      </c>
      <c r="N153" s="22">
        <f>L153+J153+H153</f>
        <v>576.0657042711864</v>
      </c>
    </row>
    <row r="154" spans="1:16" s="23" customFormat="1" ht="31.5">
      <c r="A154" s="88">
        <f>A149+1</f>
        <v>25</v>
      </c>
      <c r="B154" s="118" t="s">
        <v>179</v>
      </c>
      <c r="C154" s="113" t="s">
        <v>176</v>
      </c>
      <c r="D154" s="113" t="s">
        <v>162</v>
      </c>
      <c r="E154" s="63"/>
      <c r="F154" s="203">
        <f>F149</f>
        <v>202.7</v>
      </c>
      <c r="G154" s="33"/>
      <c r="H154" s="33"/>
      <c r="I154" s="35"/>
      <c r="J154" s="33"/>
      <c r="K154" s="35"/>
      <c r="L154" s="33"/>
      <c r="M154" s="213"/>
      <c r="N154" s="34"/>
      <c r="P154" s="96"/>
    </row>
    <row r="155" spans="1:16" s="23" customFormat="1" ht="17.25" customHeight="1">
      <c r="A155" s="33"/>
      <c r="B155" s="195"/>
      <c r="C155" s="97" t="s">
        <v>12</v>
      </c>
      <c r="D155" s="89" t="s">
        <v>122</v>
      </c>
      <c r="E155" s="56">
        <v>1</v>
      </c>
      <c r="F155" s="204">
        <f>F154*E155</f>
        <v>202.7</v>
      </c>
      <c r="G155" s="114">
        <v>3.75</v>
      </c>
      <c r="H155" s="22">
        <f>G155*F155</f>
        <v>760.125</v>
      </c>
      <c r="I155" s="100">
        <v>2.5</v>
      </c>
      <c r="J155" s="22">
        <f>I155*F155</f>
        <v>506.75</v>
      </c>
      <c r="K155" s="30">
        <f>G155*0.03</f>
        <v>0.11249999999999999</v>
      </c>
      <c r="L155" s="22">
        <f>K155*F155</f>
        <v>22.803749999999997</v>
      </c>
      <c r="M155" s="200">
        <f>G155+I155+K155</f>
        <v>6.3625</v>
      </c>
      <c r="N155" s="22">
        <f>L155+J155+H155</f>
        <v>1289.67875</v>
      </c>
      <c r="P155" s="96"/>
    </row>
    <row r="156" spans="1:16" s="23" customFormat="1" ht="17.25" customHeight="1">
      <c r="A156" s="33"/>
      <c r="B156" s="195"/>
      <c r="C156" s="97" t="s">
        <v>51</v>
      </c>
      <c r="D156" s="32" t="s">
        <v>81</v>
      </c>
      <c r="E156" s="56">
        <v>0.2</v>
      </c>
      <c r="F156" s="56">
        <f>F154*E156</f>
        <v>40.54</v>
      </c>
      <c r="G156" s="75">
        <v>2.5</v>
      </c>
      <c r="H156" s="22">
        <f>G156*F156</f>
        <v>101.35</v>
      </c>
      <c r="I156" s="100"/>
      <c r="J156" s="22">
        <f>I156*F156</f>
        <v>0</v>
      </c>
      <c r="K156" s="30">
        <f>G156*0.03</f>
        <v>0.075</v>
      </c>
      <c r="L156" s="22">
        <f>K156*F156</f>
        <v>3.0404999999999998</v>
      </c>
      <c r="M156" s="200">
        <f>G156+I156+K156</f>
        <v>2.575</v>
      </c>
      <c r="N156" s="22">
        <f>L156+J156+H156</f>
        <v>104.39049999999999</v>
      </c>
      <c r="P156" s="96"/>
    </row>
    <row r="157" spans="1:16" s="23" customFormat="1" ht="17.25" customHeight="1">
      <c r="A157" s="33"/>
      <c r="B157" s="195"/>
      <c r="C157" s="97" t="s">
        <v>97</v>
      </c>
      <c r="D157" s="89" t="s">
        <v>122</v>
      </c>
      <c r="E157" s="56">
        <v>1.15</v>
      </c>
      <c r="F157" s="56">
        <f>E157*F154</f>
        <v>233.10499999999996</v>
      </c>
      <c r="G157" s="75">
        <f>65/15/1.18</f>
        <v>3.672316384180791</v>
      </c>
      <c r="H157" s="22">
        <f>G157*F157</f>
        <v>856.0353107344631</v>
      </c>
      <c r="I157" s="100"/>
      <c r="J157" s="22">
        <f>I157*F157</f>
        <v>0</v>
      </c>
      <c r="K157" s="30">
        <f>G157*0.03</f>
        <v>0.11016949152542373</v>
      </c>
      <c r="L157" s="22">
        <f>K157*F157</f>
        <v>25.681059322033892</v>
      </c>
      <c r="M157" s="200">
        <f>G157+I157+K157</f>
        <v>3.782485875706215</v>
      </c>
      <c r="N157" s="22">
        <f>L157+J157+H157</f>
        <v>881.716370056497</v>
      </c>
      <c r="P157" s="96"/>
    </row>
    <row r="158" spans="1:14" s="19" customFormat="1" ht="17.25" customHeight="1">
      <c r="A158" s="31"/>
      <c r="B158" s="2"/>
      <c r="C158" s="32" t="s">
        <v>86</v>
      </c>
      <c r="D158" s="31" t="s">
        <v>192</v>
      </c>
      <c r="E158" s="64">
        <v>1.23</v>
      </c>
      <c r="F158" s="56">
        <f>E158*F154</f>
        <v>249.32099999999997</v>
      </c>
      <c r="G158" s="30">
        <f>60/10/1.18</f>
        <v>5.084745762711865</v>
      </c>
      <c r="H158" s="22">
        <f>G158*F158</f>
        <v>1267.7338983050847</v>
      </c>
      <c r="I158" s="30"/>
      <c r="J158" s="22">
        <f>I158*F158</f>
        <v>0</v>
      </c>
      <c r="K158" s="30">
        <f>G158*0.03</f>
        <v>0.15254237288135594</v>
      </c>
      <c r="L158" s="22">
        <f>K158*F158</f>
        <v>38.03201694915254</v>
      </c>
      <c r="M158" s="200">
        <f>G158+I158+K158</f>
        <v>5.237288135593221</v>
      </c>
      <c r="N158" s="22">
        <f>L158+J158+H158</f>
        <v>1305.7659152542374</v>
      </c>
    </row>
    <row r="159" spans="1:14" s="19" customFormat="1" ht="17.25" customHeight="1">
      <c r="A159" s="31"/>
      <c r="B159" s="10"/>
      <c r="C159" s="32" t="s">
        <v>87</v>
      </c>
      <c r="D159" s="32" t="s">
        <v>81</v>
      </c>
      <c r="E159" s="64">
        <v>0.4</v>
      </c>
      <c r="F159" s="56">
        <f>E159*F154</f>
        <v>81.08</v>
      </c>
      <c r="G159" s="30">
        <v>3</v>
      </c>
      <c r="H159" s="22">
        <f>G159*F159</f>
        <v>243.24</v>
      </c>
      <c r="I159" s="30"/>
      <c r="J159" s="22">
        <f>I159*F159</f>
        <v>0</v>
      </c>
      <c r="K159" s="30">
        <f>G159*0.03</f>
        <v>0.09</v>
      </c>
      <c r="L159" s="22">
        <f>K159*F159</f>
        <v>7.297199999999999</v>
      </c>
      <c r="M159" s="200">
        <f>G159+I159+K159</f>
        <v>3.09</v>
      </c>
      <c r="N159" s="22">
        <f>L159+J159+H159</f>
        <v>250.5372</v>
      </c>
    </row>
    <row r="160" spans="1:15" s="50" customFormat="1" ht="33" customHeight="1">
      <c r="A160" s="59">
        <f>A154+1</f>
        <v>26</v>
      </c>
      <c r="B160" s="117" t="s">
        <v>182</v>
      </c>
      <c r="C160" s="42" t="s">
        <v>184</v>
      </c>
      <c r="D160" s="14" t="s">
        <v>50</v>
      </c>
      <c r="E160" s="30"/>
      <c r="F160" s="74">
        <f>F154*0.05</f>
        <v>10.135</v>
      </c>
      <c r="G160" s="36"/>
      <c r="H160" s="44"/>
      <c r="I160" s="36"/>
      <c r="J160" s="49"/>
      <c r="K160" s="36"/>
      <c r="L160" s="49"/>
      <c r="M160" s="212"/>
      <c r="N160" s="62"/>
      <c r="O160" s="55"/>
    </row>
    <row r="161" spans="1:14" s="52" customFormat="1" ht="17.25" customHeight="1">
      <c r="A161" s="32"/>
      <c r="B161" s="2"/>
      <c r="C161" s="43" t="s">
        <v>12</v>
      </c>
      <c r="D161" s="20" t="s">
        <v>49</v>
      </c>
      <c r="E161" s="64">
        <v>1</v>
      </c>
      <c r="F161" s="75">
        <f>E161*F160</f>
        <v>10.135</v>
      </c>
      <c r="G161" s="30">
        <v>0</v>
      </c>
      <c r="H161" s="22">
        <f>G161*F161</f>
        <v>0</v>
      </c>
      <c r="I161" s="61">
        <v>2.5</v>
      </c>
      <c r="J161" s="22">
        <f>I161*F161</f>
        <v>25.3375</v>
      </c>
      <c r="K161" s="30">
        <f>G161*0.03</f>
        <v>0</v>
      </c>
      <c r="L161" s="22">
        <f>K161*F161</f>
        <v>0</v>
      </c>
      <c r="M161" s="200">
        <f>G161+I161+K161</f>
        <v>2.5</v>
      </c>
      <c r="N161" s="22">
        <f>L161+J161+H161</f>
        <v>25.3375</v>
      </c>
    </row>
    <row r="162" spans="1:14" s="19" customFormat="1" ht="17.25" customHeight="1">
      <c r="A162" s="31"/>
      <c r="B162" s="2"/>
      <c r="C162" s="43" t="s">
        <v>185</v>
      </c>
      <c r="D162" s="20" t="s">
        <v>49</v>
      </c>
      <c r="E162" s="64">
        <v>1.15</v>
      </c>
      <c r="F162" s="75">
        <f>E162*F160</f>
        <v>11.655249999999999</v>
      </c>
      <c r="G162" s="30">
        <f>25/1.18</f>
        <v>21.186440677966104</v>
      </c>
      <c r="H162" s="22">
        <f>G162*F162</f>
        <v>246.93326271186442</v>
      </c>
      <c r="I162" s="30"/>
      <c r="J162" s="22">
        <f>I162*F162</f>
        <v>0</v>
      </c>
      <c r="K162" s="30">
        <f>G162*0.03</f>
        <v>0.6355932203389831</v>
      </c>
      <c r="L162" s="22">
        <f>K162*F162</f>
        <v>7.407997881355932</v>
      </c>
      <c r="M162" s="200">
        <f>G162+I162+K162</f>
        <v>21.822033898305087</v>
      </c>
      <c r="N162" s="22">
        <f>L162+J162+H162</f>
        <v>254.34126059322034</v>
      </c>
    </row>
    <row r="163" spans="1:15" s="50" customFormat="1" ht="21" customHeight="1">
      <c r="A163" s="59">
        <f>A160+1</f>
        <v>27</v>
      </c>
      <c r="B163" s="117" t="s">
        <v>33</v>
      </c>
      <c r="C163" s="11" t="s">
        <v>177</v>
      </c>
      <c r="D163" s="11" t="s">
        <v>5</v>
      </c>
      <c r="E163" s="44"/>
      <c r="F163" s="199">
        <f>33.4+56</f>
        <v>89.4</v>
      </c>
      <c r="G163" s="49"/>
      <c r="H163" s="49"/>
      <c r="I163" s="49"/>
      <c r="J163" s="44"/>
      <c r="K163" s="11"/>
      <c r="L163" s="11"/>
      <c r="M163" s="214"/>
      <c r="N163" s="11"/>
      <c r="O163" s="55"/>
    </row>
    <row r="164" spans="1:16" s="23" customFormat="1" ht="17.25" customHeight="1">
      <c r="A164" s="33"/>
      <c r="B164" s="195"/>
      <c r="C164" s="98" t="s">
        <v>12</v>
      </c>
      <c r="D164" s="97" t="str">
        <f>D163</f>
        <v>grZ.m.</v>
      </c>
      <c r="E164" s="24">
        <v>1</v>
      </c>
      <c r="F164" s="24">
        <f>E164*F163</f>
        <v>89.4</v>
      </c>
      <c r="G164" s="114">
        <v>3.75</v>
      </c>
      <c r="H164" s="22">
        <f>G164*F164</f>
        <v>335.25</v>
      </c>
      <c r="I164" s="100">
        <v>7.5</v>
      </c>
      <c r="J164" s="22">
        <f>I164*F164</f>
        <v>670.5</v>
      </c>
      <c r="K164" s="30">
        <f>G164*0.03</f>
        <v>0.11249999999999999</v>
      </c>
      <c r="L164" s="22">
        <f>K164*F164</f>
        <v>10.0575</v>
      </c>
      <c r="M164" s="200">
        <f>G164+I164+K164</f>
        <v>11.3625</v>
      </c>
      <c r="N164" s="22">
        <f>L164+J164+H164</f>
        <v>1015.8075</v>
      </c>
      <c r="P164" s="96"/>
    </row>
    <row r="165" spans="1:16" s="23" customFormat="1" ht="17.25" customHeight="1">
      <c r="A165" s="33"/>
      <c r="B165" s="195"/>
      <c r="C165" s="98" t="s">
        <v>178</v>
      </c>
      <c r="D165" s="98" t="s">
        <v>122</v>
      </c>
      <c r="E165" s="24">
        <v>0.55</v>
      </c>
      <c r="F165" s="24">
        <f>E165*F163</f>
        <v>49.17000000000001</v>
      </c>
      <c r="G165" s="114">
        <f>17.5/2/1.18</f>
        <v>7.415254237288136</v>
      </c>
      <c r="H165" s="22">
        <f>G165*F165</f>
        <v>364.6080508474577</v>
      </c>
      <c r="I165" s="100"/>
      <c r="J165" s="22">
        <f>I165*F165</f>
        <v>0</v>
      </c>
      <c r="K165" s="30">
        <f>G165*0.03</f>
        <v>0.22245762711864406</v>
      </c>
      <c r="L165" s="22">
        <f>K165*F165</f>
        <v>10.93824152542373</v>
      </c>
      <c r="M165" s="200">
        <f>G165+I165+K165</f>
        <v>7.63771186440678</v>
      </c>
      <c r="N165" s="22">
        <f>L165+J165+H165</f>
        <v>375.54629237288145</v>
      </c>
      <c r="P165" s="96"/>
    </row>
    <row r="166" spans="1:14" ht="18" customHeight="1">
      <c r="A166" s="25"/>
      <c r="B166" s="58"/>
      <c r="C166" s="26"/>
      <c r="D166" s="25"/>
      <c r="E166" s="28"/>
      <c r="F166" s="25"/>
      <c r="G166" s="25"/>
      <c r="H166" s="25"/>
      <c r="I166" s="27"/>
      <c r="J166" s="25"/>
      <c r="K166" s="27"/>
      <c r="L166" s="25"/>
      <c r="M166" s="211"/>
      <c r="N166" s="28"/>
    </row>
    <row r="167" spans="1:14" s="38" customFormat="1" ht="33" customHeight="1">
      <c r="A167" s="88">
        <f>A163+1</f>
        <v>28</v>
      </c>
      <c r="B167" s="2" t="s">
        <v>147</v>
      </c>
      <c r="C167" s="14" t="s">
        <v>148</v>
      </c>
      <c r="D167" s="14" t="s">
        <v>50</v>
      </c>
      <c r="E167" s="30"/>
      <c r="F167" s="199">
        <f>((5.8+7.1+5+2+8+5+7.4+7.4+16.5+8+12)*3.7-F284)*0.2</f>
        <v>46.768</v>
      </c>
      <c r="G167" s="36"/>
      <c r="H167" s="106"/>
      <c r="I167" s="36"/>
      <c r="J167" s="107"/>
      <c r="K167" s="36"/>
      <c r="L167" s="107"/>
      <c r="M167" s="215"/>
      <c r="N167" s="108"/>
    </row>
    <row r="168" spans="1:14" s="39" customFormat="1" ht="17.25" customHeight="1">
      <c r="A168" s="14"/>
      <c r="B168" s="9"/>
      <c r="C168" s="37" t="s">
        <v>12</v>
      </c>
      <c r="D168" s="32" t="s">
        <v>192</v>
      </c>
      <c r="E168" s="30">
        <v>1</v>
      </c>
      <c r="F168" s="54">
        <f>F167*E168</f>
        <v>46.768</v>
      </c>
      <c r="G168" s="30">
        <v>0</v>
      </c>
      <c r="H168" s="22">
        <f>G168*F168</f>
        <v>0</v>
      </c>
      <c r="I168" s="93">
        <f>65*0.4</f>
        <v>26</v>
      </c>
      <c r="J168" s="22">
        <f>I168*F168</f>
        <v>1215.968</v>
      </c>
      <c r="K168" s="30">
        <f>G168*0.03</f>
        <v>0</v>
      </c>
      <c r="L168" s="22">
        <f>K168*F168</f>
        <v>0</v>
      </c>
      <c r="M168" s="200">
        <f>G168+I168+K168</f>
        <v>26</v>
      </c>
      <c r="N168" s="22">
        <f>L168+J168+H168</f>
        <v>1215.968</v>
      </c>
    </row>
    <row r="169" spans="1:14" s="38" customFormat="1" ht="17.25" customHeight="1">
      <c r="A169" s="109"/>
      <c r="B169" s="2"/>
      <c r="C169" s="98" t="s">
        <v>91</v>
      </c>
      <c r="D169" s="20" t="s">
        <v>49</v>
      </c>
      <c r="E169" s="20">
        <v>0.12</v>
      </c>
      <c r="F169" s="54">
        <f>E169*F167</f>
        <v>5.61216</v>
      </c>
      <c r="G169" s="30"/>
      <c r="H169" s="22"/>
      <c r="I169" s="93"/>
      <c r="J169" s="22"/>
      <c r="K169" s="30"/>
      <c r="L169" s="22"/>
      <c r="M169" s="200"/>
      <c r="N169" s="22"/>
    </row>
    <row r="170" spans="1:14" s="38" customFormat="1" ht="17.25" customHeight="1">
      <c r="A170" s="109"/>
      <c r="B170" s="2"/>
      <c r="C170" s="98" t="s">
        <v>89</v>
      </c>
      <c r="D170" s="20" t="s">
        <v>49</v>
      </c>
      <c r="E170" s="20">
        <v>1.21</v>
      </c>
      <c r="F170" s="54">
        <f>E170*F169</f>
        <v>6.7907136</v>
      </c>
      <c r="G170" s="30">
        <f>45/1.18</f>
        <v>38.13559322033898</v>
      </c>
      <c r="H170" s="22">
        <f>G170*F170</f>
        <v>258.96789152542374</v>
      </c>
      <c r="I170" s="93"/>
      <c r="J170" s="22">
        <f>I170*F170</f>
        <v>0</v>
      </c>
      <c r="K170" s="30">
        <f>G170*0.03</f>
        <v>1.1440677966101693</v>
      </c>
      <c r="L170" s="22">
        <f>K170*F170</f>
        <v>7.769036745762711</v>
      </c>
      <c r="M170" s="200">
        <f>G170+I170+K170</f>
        <v>39.27966101694915</v>
      </c>
      <c r="N170" s="22">
        <f>L170+J170+H170</f>
        <v>266.73692827118646</v>
      </c>
    </row>
    <row r="171" spans="1:14" s="38" customFormat="1" ht="17.25" customHeight="1">
      <c r="A171" s="109"/>
      <c r="B171" s="2"/>
      <c r="C171" s="98" t="s">
        <v>90</v>
      </c>
      <c r="D171" s="20" t="s">
        <v>6</v>
      </c>
      <c r="E171" s="20">
        <v>0.304</v>
      </c>
      <c r="F171" s="54">
        <f>E171*F169</f>
        <v>1.70609664</v>
      </c>
      <c r="G171" s="30">
        <f>10.5*20/1.18</f>
        <v>177.96610169491527</v>
      </c>
      <c r="H171" s="22">
        <f>G171*F171</f>
        <v>303.62736813559326</v>
      </c>
      <c r="I171" s="93"/>
      <c r="J171" s="22">
        <f>I171*F171</f>
        <v>0</v>
      </c>
      <c r="K171" s="30">
        <f>G171*0.03</f>
        <v>5.338983050847458</v>
      </c>
      <c r="L171" s="22">
        <f>K171*F171</f>
        <v>9.108821044067795</v>
      </c>
      <c r="M171" s="200">
        <f>G171+I171+K171</f>
        <v>183.3050847457627</v>
      </c>
      <c r="N171" s="22">
        <f>L171+J171+H171</f>
        <v>312.73618917966104</v>
      </c>
    </row>
    <row r="172" spans="1:14" s="38" customFormat="1" ht="17.25" customHeight="1">
      <c r="A172" s="109"/>
      <c r="B172" s="2"/>
      <c r="C172" s="37" t="s">
        <v>150</v>
      </c>
      <c r="D172" s="20" t="s">
        <v>10</v>
      </c>
      <c r="E172" s="40">
        <v>65</v>
      </c>
      <c r="F172" s="54">
        <f>E172*F167</f>
        <v>3039.92</v>
      </c>
      <c r="G172" s="30">
        <f>1.2/1.18</f>
        <v>1.0169491525423728</v>
      </c>
      <c r="H172" s="22">
        <f>G172*F172</f>
        <v>3091.44406779661</v>
      </c>
      <c r="I172" s="36"/>
      <c r="J172" s="22">
        <f>I172*F172</f>
        <v>0</v>
      </c>
      <c r="K172" s="30">
        <f>G172*0.03</f>
        <v>0.030508474576271184</v>
      </c>
      <c r="L172" s="22">
        <f>K172*F172</f>
        <v>92.7433220338983</v>
      </c>
      <c r="M172" s="200">
        <f>G172+I172+K172</f>
        <v>1.047457627118644</v>
      </c>
      <c r="N172" s="22">
        <f>L172+J172+H172</f>
        <v>3184.1873898305084</v>
      </c>
    </row>
    <row r="173" spans="1:14" s="91" customFormat="1" ht="17.25" customHeight="1">
      <c r="A173" s="89"/>
      <c r="B173" s="9"/>
      <c r="C173" s="89" t="s">
        <v>155</v>
      </c>
      <c r="D173" s="89" t="s">
        <v>6</v>
      </c>
      <c r="E173" s="64">
        <v>1.02</v>
      </c>
      <c r="F173" s="102">
        <f>F167*2*2*0.49/1000*E173</f>
        <v>0.0934985856</v>
      </c>
      <c r="G173" s="30">
        <f>950*1.75/1.18</f>
        <v>1408.8983050847457</v>
      </c>
      <c r="H173" s="93">
        <f>G173*F173</f>
        <v>131.72999877966103</v>
      </c>
      <c r="I173" s="92"/>
      <c r="J173" s="22">
        <f>I173*F173</f>
        <v>0</v>
      </c>
      <c r="K173" s="30">
        <f>G173*0.03</f>
        <v>42.266949152542374</v>
      </c>
      <c r="L173" s="22">
        <f>K173*F173</f>
        <v>3.9518999633898306</v>
      </c>
      <c r="M173" s="200">
        <f>G173+I173+K173</f>
        <v>1451.165254237288</v>
      </c>
      <c r="N173" s="22">
        <f>L173+J173+H173</f>
        <v>135.68189874305085</v>
      </c>
    </row>
    <row r="174" spans="1:14" s="38" customFormat="1" ht="31.5">
      <c r="A174" s="88">
        <f>A167+1</f>
        <v>29</v>
      </c>
      <c r="B174" s="2" t="s">
        <v>147</v>
      </c>
      <c r="C174" s="14" t="s">
        <v>151</v>
      </c>
      <c r="D174" s="14" t="s">
        <v>50</v>
      </c>
      <c r="E174" s="30"/>
      <c r="F174" s="199">
        <f>(8)*3.7*0.2*2</f>
        <v>11.840000000000002</v>
      </c>
      <c r="G174" s="36"/>
      <c r="H174" s="106"/>
      <c r="I174" s="36"/>
      <c r="J174" s="107"/>
      <c r="K174" s="36"/>
      <c r="L174" s="107"/>
      <c r="M174" s="215"/>
      <c r="N174" s="108"/>
    </row>
    <row r="175" spans="1:14" s="39" customFormat="1" ht="15" customHeight="1">
      <c r="A175" s="14"/>
      <c r="B175" s="9"/>
      <c r="C175" s="37" t="s">
        <v>12</v>
      </c>
      <c r="D175" s="32" t="s">
        <v>192</v>
      </c>
      <c r="E175" s="30">
        <v>1</v>
      </c>
      <c r="F175" s="54">
        <f>F174*E175</f>
        <v>11.840000000000002</v>
      </c>
      <c r="G175" s="30">
        <v>0</v>
      </c>
      <c r="H175" s="22">
        <f>G175*F175</f>
        <v>0</v>
      </c>
      <c r="I175" s="93">
        <f>65*0.4</f>
        <v>26</v>
      </c>
      <c r="J175" s="22">
        <f>I175*F175</f>
        <v>307.84000000000003</v>
      </c>
      <c r="K175" s="30">
        <f>G175*0.03</f>
        <v>0</v>
      </c>
      <c r="L175" s="22">
        <f>K175*F175</f>
        <v>0</v>
      </c>
      <c r="M175" s="200">
        <f>G175+I175+K175</f>
        <v>26</v>
      </c>
      <c r="N175" s="22">
        <f>L175+J175+H175</f>
        <v>307.84000000000003</v>
      </c>
    </row>
    <row r="176" spans="1:14" s="38" customFormat="1" ht="18">
      <c r="A176" s="109"/>
      <c r="B176" s="2"/>
      <c r="C176" s="98" t="s">
        <v>91</v>
      </c>
      <c r="D176" s="20" t="s">
        <v>49</v>
      </c>
      <c r="E176" s="20">
        <v>0.12</v>
      </c>
      <c r="F176" s="54">
        <f>E176*F174</f>
        <v>1.4208</v>
      </c>
      <c r="G176" s="30"/>
      <c r="H176" s="22"/>
      <c r="I176" s="93"/>
      <c r="J176" s="22"/>
      <c r="K176" s="30"/>
      <c r="L176" s="22"/>
      <c r="M176" s="200"/>
      <c r="N176" s="22"/>
    </row>
    <row r="177" spans="1:14" s="38" customFormat="1" ht="17.25" customHeight="1">
      <c r="A177" s="109"/>
      <c r="B177" s="2"/>
      <c r="C177" s="98" t="s">
        <v>89</v>
      </c>
      <c r="D177" s="20" t="s">
        <v>49</v>
      </c>
      <c r="E177" s="20">
        <v>1.21</v>
      </c>
      <c r="F177" s="54">
        <f>E177*F176</f>
        <v>1.719168</v>
      </c>
      <c r="G177" s="30">
        <f>45/1.18</f>
        <v>38.13559322033898</v>
      </c>
      <c r="H177" s="22">
        <f>G177*F177</f>
        <v>65.56149152542373</v>
      </c>
      <c r="I177" s="93"/>
      <c r="J177" s="22">
        <f>I177*F177</f>
        <v>0</v>
      </c>
      <c r="K177" s="30">
        <f>G177*0.03</f>
        <v>1.1440677966101693</v>
      </c>
      <c r="L177" s="22">
        <f>K177*F177</f>
        <v>1.9668447457627116</v>
      </c>
      <c r="M177" s="200">
        <f>G177+I177+K177</f>
        <v>39.27966101694915</v>
      </c>
      <c r="N177" s="22">
        <f>L177+J177+H177</f>
        <v>67.52833627118645</v>
      </c>
    </row>
    <row r="178" spans="1:14" s="38" customFormat="1" ht="17.25" customHeight="1">
      <c r="A178" s="109"/>
      <c r="B178" s="2"/>
      <c r="C178" s="98" t="s">
        <v>90</v>
      </c>
      <c r="D178" s="20" t="s">
        <v>6</v>
      </c>
      <c r="E178" s="20">
        <v>0.304</v>
      </c>
      <c r="F178" s="54">
        <f>E178*F176</f>
        <v>0.4319232</v>
      </c>
      <c r="G178" s="30">
        <f>10.5*20/1.18</f>
        <v>177.96610169491527</v>
      </c>
      <c r="H178" s="22">
        <f>G178*F178</f>
        <v>76.86768813559323</v>
      </c>
      <c r="I178" s="93"/>
      <c r="J178" s="22">
        <f>I178*F178</f>
        <v>0</v>
      </c>
      <c r="K178" s="30">
        <f>G178*0.03</f>
        <v>5.338983050847458</v>
      </c>
      <c r="L178" s="22">
        <f>K178*F178</f>
        <v>2.3060306440677967</v>
      </c>
      <c r="M178" s="200">
        <f>G178+I178+K178</f>
        <v>183.3050847457627</v>
      </c>
      <c r="N178" s="22">
        <f>L178+J178+H178</f>
        <v>79.17371877966103</v>
      </c>
    </row>
    <row r="179" spans="1:14" s="38" customFormat="1" ht="15.75">
      <c r="A179" s="109"/>
      <c r="B179" s="2"/>
      <c r="C179" s="37" t="s">
        <v>150</v>
      </c>
      <c r="D179" s="20" t="s">
        <v>10</v>
      </c>
      <c r="E179" s="40">
        <v>65</v>
      </c>
      <c r="F179" s="54">
        <f>E179*F174</f>
        <v>769.6000000000001</v>
      </c>
      <c r="G179" s="30">
        <f>1.4/1.18</f>
        <v>1.1864406779661016</v>
      </c>
      <c r="H179" s="22">
        <f>G179*F179</f>
        <v>913.084745762712</v>
      </c>
      <c r="I179" s="36"/>
      <c r="J179" s="22">
        <f>I179*F179</f>
        <v>0</v>
      </c>
      <c r="K179" s="30">
        <f>G179*0.03</f>
        <v>0.035593220338983045</v>
      </c>
      <c r="L179" s="22">
        <f>K179*F179</f>
        <v>27.392542372881355</v>
      </c>
      <c r="M179" s="200">
        <f>G179+I179+K179</f>
        <v>1.2220338983050847</v>
      </c>
      <c r="N179" s="22">
        <f>L179+J179+H179</f>
        <v>940.4772881355934</v>
      </c>
    </row>
    <row r="180" spans="1:14" s="91" customFormat="1" ht="15.75">
      <c r="A180" s="89"/>
      <c r="B180" s="9"/>
      <c r="C180" s="89" t="s">
        <v>155</v>
      </c>
      <c r="D180" s="89" t="s">
        <v>6</v>
      </c>
      <c r="E180" s="64">
        <v>1.02</v>
      </c>
      <c r="F180" s="102">
        <f>F174*2*2*0.49/1000*E180</f>
        <v>0.023670528000000003</v>
      </c>
      <c r="G180" s="30">
        <f>950*1.75/1.18</f>
        <v>1408.8983050847457</v>
      </c>
      <c r="H180" s="93">
        <f>G180*F180</f>
        <v>33.34936677966102</v>
      </c>
      <c r="I180" s="92"/>
      <c r="J180" s="22">
        <f>I180*F180</f>
        <v>0</v>
      </c>
      <c r="K180" s="30">
        <f>G180*0.03</f>
        <v>42.266949152542374</v>
      </c>
      <c r="L180" s="22">
        <f>K180*F180</f>
        <v>1.0004810033898306</v>
      </c>
      <c r="M180" s="200">
        <f>G180+I180+K180</f>
        <v>1451.165254237288</v>
      </c>
      <c r="N180" s="22">
        <f>L180+J180+H180</f>
        <v>34.34984778305085</v>
      </c>
    </row>
    <row r="181" spans="1:14" s="38" customFormat="1" ht="31.5">
      <c r="A181" s="88">
        <f>A174+1</f>
        <v>30</v>
      </c>
      <c r="B181" s="2" t="s">
        <v>147</v>
      </c>
      <c r="C181" s="14" t="s">
        <v>152</v>
      </c>
      <c r="D181" s="14" t="s">
        <v>153</v>
      </c>
      <c r="E181" s="30"/>
      <c r="F181" s="199">
        <f>(3+2+2.4+3.2+4+3+2.5+6+9+9+16)*3+(2.4+12)*3.4</f>
        <v>229.26000000000002</v>
      </c>
      <c r="G181" s="36"/>
      <c r="H181" s="106"/>
      <c r="I181" s="36"/>
      <c r="J181" s="107"/>
      <c r="K181" s="36"/>
      <c r="L181" s="107"/>
      <c r="M181" s="215"/>
      <c r="N181" s="108"/>
    </row>
    <row r="182" spans="1:14" s="39" customFormat="1" ht="17.25" customHeight="1">
      <c r="A182" s="14"/>
      <c r="B182" s="9"/>
      <c r="C182" s="37" t="s">
        <v>12</v>
      </c>
      <c r="D182" s="32" t="s">
        <v>192</v>
      </c>
      <c r="E182" s="30">
        <v>1</v>
      </c>
      <c r="F182" s="30">
        <f>F181*E182</f>
        <v>229.26000000000002</v>
      </c>
      <c r="G182" s="30">
        <v>0</v>
      </c>
      <c r="H182" s="22">
        <f>G182*F182</f>
        <v>0</v>
      </c>
      <c r="I182" s="93">
        <f>12.5*0.4</f>
        <v>5</v>
      </c>
      <c r="J182" s="22">
        <f>I182*F182</f>
        <v>1146.3000000000002</v>
      </c>
      <c r="K182" s="30">
        <f>G182*0.03</f>
        <v>0</v>
      </c>
      <c r="L182" s="22">
        <f>K182*F182</f>
        <v>0</v>
      </c>
      <c r="M182" s="200">
        <f>G182+I182+K182</f>
        <v>5</v>
      </c>
      <c r="N182" s="22">
        <f>L182+J182+H182</f>
        <v>1146.3000000000002</v>
      </c>
    </row>
    <row r="183" spans="1:14" s="39" customFormat="1" ht="17.25" customHeight="1">
      <c r="A183" s="14"/>
      <c r="B183" s="2"/>
      <c r="C183" s="98" t="s">
        <v>91</v>
      </c>
      <c r="D183" s="20" t="s">
        <v>49</v>
      </c>
      <c r="E183" s="66">
        <f>0.12/8</f>
        <v>0.015</v>
      </c>
      <c r="F183" s="30">
        <f>E183*F181</f>
        <v>3.4389000000000003</v>
      </c>
      <c r="G183" s="30"/>
      <c r="H183" s="22"/>
      <c r="I183" s="93"/>
      <c r="J183" s="22"/>
      <c r="K183" s="30"/>
      <c r="L183" s="22"/>
      <c r="M183" s="200"/>
      <c r="N183" s="22"/>
    </row>
    <row r="184" spans="1:14" s="38" customFormat="1" ht="17.25" customHeight="1">
      <c r="A184" s="109"/>
      <c r="B184" s="2"/>
      <c r="C184" s="98" t="s">
        <v>89</v>
      </c>
      <c r="D184" s="20" t="s">
        <v>49</v>
      </c>
      <c r="E184" s="20">
        <v>1.21</v>
      </c>
      <c r="F184" s="54">
        <f>E184*F183</f>
        <v>4.161069</v>
      </c>
      <c r="G184" s="30">
        <f>45/1.18</f>
        <v>38.13559322033898</v>
      </c>
      <c r="H184" s="22">
        <f>G184*F184</f>
        <v>158.6848347457627</v>
      </c>
      <c r="I184" s="93"/>
      <c r="J184" s="22">
        <f>I184*F184</f>
        <v>0</v>
      </c>
      <c r="K184" s="30">
        <f>G184*0.03</f>
        <v>1.1440677966101693</v>
      </c>
      <c r="L184" s="22">
        <f>K184*F184</f>
        <v>4.760545042372881</v>
      </c>
      <c r="M184" s="200">
        <f>G184+I184+K184</f>
        <v>39.27966101694915</v>
      </c>
      <c r="N184" s="22">
        <f>L184+J184+H184</f>
        <v>163.4453797881356</v>
      </c>
    </row>
    <row r="185" spans="1:14" s="38" customFormat="1" ht="17.25" customHeight="1">
      <c r="A185" s="109"/>
      <c r="B185" s="2"/>
      <c r="C185" s="98" t="s">
        <v>90</v>
      </c>
      <c r="D185" s="20" t="s">
        <v>6</v>
      </c>
      <c r="E185" s="20">
        <v>0.304</v>
      </c>
      <c r="F185" s="54">
        <f>E185*F183</f>
        <v>1.0454256</v>
      </c>
      <c r="G185" s="30">
        <f>10.5*20/1.18</f>
        <v>177.96610169491527</v>
      </c>
      <c r="H185" s="22">
        <f>G185*F185</f>
        <v>186.0503186440678</v>
      </c>
      <c r="I185" s="93"/>
      <c r="J185" s="22">
        <f>I185*F185</f>
        <v>0</v>
      </c>
      <c r="K185" s="30">
        <f>G185*0.03</f>
        <v>5.338983050847458</v>
      </c>
      <c r="L185" s="22">
        <f>K185*F185</f>
        <v>5.581509559322034</v>
      </c>
      <c r="M185" s="200">
        <f>G185+I185+K185</f>
        <v>183.3050847457627</v>
      </c>
      <c r="N185" s="22">
        <f>L185+J185+H185</f>
        <v>191.63182820338983</v>
      </c>
    </row>
    <row r="186" spans="1:14" s="111" customFormat="1" ht="17.25" customHeight="1">
      <c r="A186" s="14"/>
      <c r="B186" s="2"/>
      <c r="C186" s="37" t="s">
        <v>154</v>
      </c>
      <c r="D186" s="20" t="s">
        <v>10</v>
      </c>
      <c r="E186" s="40">
        <v>12.5</v>
      </c>
      <c r="F186" s="40">
        <f>F181*E186</f>
        <v>2865.7500000000005</v>
      </c>
      <c r="G186" s="30">
        <f>0.75/1.18</f>
        <v>0.6355932203389831</v>
      </c>
      <c r="H186" s="30">
        <f>G186*F186</f>
        <v>1821.4512711864413</v>
      </c>
      <c r="I186" s="30"/>
      <c r="J186" s="22">
        <f>I186*F186</f>
        <v>0</v>
      </c>
      <c r="K186" s="30">
        <f>G186*0.03</f>
        <v>0.019067796610169493</v>
      </c>
      <c r="L186" s="22">
        <f>K186*F186</f>
        <v>54.64353813559323</v>
      </c>
      <c r="M186" s="200">
        <f>G186+I186+K186</f>
        <v>0.6546610169491526</v>
      </c>
      <c r="N186" s="22">
        <f>L186+J186+H186</f>
        <v>1876.0948093220345</v>
      </c>
    </row>
    <row r="187" spans="1:14" s="91" customFormat="1" ht="17.25" customHeight="1">
      <c r="A187" s="89"/>
      <c r="B187" s="9"/>
      <c r="C187" s="89" t="s">
        <v>155</v>
      </c>
      <c r="D187" s="89" t="s">
        <v>6</v>
      </c>
      <c r="E187" s="64">
        <v>1.02</v>
      </c>
      <c r="F187" s="110">
        <f>F181*2*2*0.49/1000*E187</f>
        <v>0.45833659200000004</v>
      </c>
      <c r="G187" s="30">
        <f>950*1.75/1.18</f>
        <v>1408.8983050847457</v>
      </c>
      <c r="H187" s="93">
        <f>G187*F187</f>
        <v>645.7496476271187</v>
      </c>
      <c r="I187" s="92"/>
      <c r="J187" s="22">
        <f>I187*F187</f>
        <v>0</v>
      </c>
      <c r="K187" s="30">
        <f>G187*0.03</f>
        <v>42.266949152542374</v>
      </c>
      <c r="L187" s="22">
        <f>K187*F187</f>
        <v>19.372489428813562</v>
      </c>
      <c r="M187" s="200">
        <f>G187+I187+K187</f>
        <v>1451.165254237288</v>
      </c>
      <c r="N187" s="22">
        <f>L187+J187+H187</f>
        <v>665.1221370559323</v>
      </c>
    </row>
    <row r="188" spans="1:14" s="38" customFormat="1" ht="21" customHeight="1">
      <c r="A188" s="59">
        <f>A181+1</f>
        <v>31</v>
      </c>
      <c r="B188" s="2" t="s">
        <v>94</v>
      </c>
      <c r="C188" s="14" t="s">
        <v>163</v>
      </c>
      <c r="D188" s="14" t="s">
        <v>153</v>
      </c>
      <c r="E188" s="30"/>
      <c r="F188" s="199">
        <f>((5.8+7.1+5+2+8+5+7.4+7.4+16.5+8+12)*3.7-F284)</f>
        <v>233.83999999999997</v>
      </c>
      <c r="G188" s="36"/>
      <c r="H188" s="36"/>
      <c r="I188" s="36"/>
      <c r="J188" s="49"/>
      <c r="K188" s="36"/>
      <c r="L188" s="49"/>
      <c r="M188" s="215"/>
      <c r="N188" s="40"/>
    </row>
    <row r="189" spans="1:14" s="39" customFormat="1" ht="17.25" customHeight="1">
      <c r="A189" s="14"/>
      <c r="B189" s="9"/>
      <c r="C189" s="37" t="s">
        <v>12</v>
      </c>
      <c r="D189" s="32" t="s">
        <v>192</v>
      </c>
      <c r="E189" s="30">
        <v>1</v>
      </c>
      <c r="F189" s="54">
        <f>F188*E189</f>
        <v>233.83999999999997</v>
      </c>
      <c r="G189" s="30">
        <v>0</v>
      </c>
      <c r="H189" s="22">
        <f>G189*F189</f>
        <v>0</v>
      </c>
      <c r="I189" s="45">
        <v>7.5</v>
      </c>
      <c r="J189" s="22">
        <f>I189*F189</f>
        <v>1753.7999999999997</v>
      </c>
      <c r="K189" s="30">
        <f>G189*0.03</f>
        <v>0</v>
      </c>
      <c r="L189" s="22">
        <f>K189*F189</f>
        <v>0</v>
      </c>
      <c r="M189" s="200">
        <f>G189+I189+K189</f>
        <v>7.5</v>
      </c>
      <c r="N189" s="22">
        <f>L189+J189+H189</f>
        <v>1753.7999999999997</v>
      </c>
    </row>
    <row r="190" spans="1:16" s="39" customFormat="1" ht="17.25" customHeight="1">
      <c r="A190" s="116"/>
      <c r="B190" s="10"/>
      <c r="C190" s="43" t="s">
        <v>167</v>
      </c>
      <c r="D190" s="43" t="s">
        <v>192</v>
      </c>
      <c r="E190" s="68">
        <v>3.2</v>
      </c>
      <c r="F190" s="54">
        <f>F189*E190</f>
        <v>748.288</v>
      </c>
      <c r="G190" s="30">
        <f>12/1.185</f>
        <v>10.126582278481012</v>
      </c>
      <c r="H190" s="22">
        <f>G190*F190</f>
        <v>7577.599999999999</v>
      </c>
      <c r="I190" s="61"/>
      <c r="J190" s="40">
        <f>I190*F190</f>
        <v>0</v>
      </c>
      <c r="K190" s="30">
        <f>G190*0.03</f>
        <v>0.30379746835443033</v>
      </c>
      <c r="L190" s="40">
        <f>K190*F190</f>
        <v>227.32799999999997</v>
      </c>
      <c r="M190" s="200">
        <f>G190+I190+K190</f>
        <v>10.430379746835442</v>
      </c>
      <c r="N190" s="22">
        <f>L190+J190+H190</f>
        <v>7804.928</v>
      </c>
      <c r="O190" s="19"/>
      <c r="P190" s="19"/>
    </row>
    <row r="191" spans="1:16" s="39" customFormat="1" ht="17.25" customHeight="1">
      <c r="A191" s="116"/>
      <c r="B191" s="10"/>
      <c r="C191" s="43" t="s">
        <v>166</v>
      </c>
      <c r="D191" s="43" t="s">
        <v>192</v>
      </c>
      <c r="E191" s="51">
        <v>1.15</v>
      </c>
      <c r="F191" s="54">
        <f>F189*E191</f>
        <v>268.91599999999994</v>
      </c>
      <c r="G191" s="30">
        <f>8.5/1.18</f>
        <v>7.203389830508475</v>
      </c>
      <c r="H191" s="22">
        <f>G191*F191</f>
        <v>1937.1067796610166</v>
      </c>
      <c r="I191" s="61"/>
      <c r="J191" s="40">
        <f>I191*F191</f>
        <v>0</v>
      </c>
      <c r="K191" s="30">
        <f>G191*0.03</f>
        <v>0.21610169491525424</v>
      </c>
      <c r="L191" s="40">
        <f>K191*F191</f>
        <v>58.113203389830495</v>
      </c>
      <c r="M191" s="200">
        <f>G191+I191+K191</f>
        <v>7.419491525423729</v>
      </c>
      <c r="N191" s="22">
        <f>L191+J191+H191</f>
        <v>1995.219983050847</v>
      </c>
      <c r="O191" s="19"/>
      <c r="P191" s="19"/>
    </row>
    <row r="192" spans="1:14" ht="18" customHeight="1">
      <c r="A192" s="25"/>
      <c r="B192" s="58"/>
      <c r="C192" s="26" t="s">
        <v>63</v>
      </c>
      <c r="D192" s="25"/>
      <c r="E192" s="28"/>
      <c r="F192" s="25"/>
      <c r="G192" s="25"/>
      <c r="H192" s="25"/>
      <c r="I192" s="27"/>
      <c r="J192" s="25"/>
      <c r="K192" s="27"/>
      <c r="L192" s="25"/>
      <c r="M192" s="211"/>
      <c r="N192" s="28"/>
    </row>
    <row r="193" spans="1:14" s="50" customFormat="1" ht="33" customHeight="1">
      <c r="A193" s="88">
        <f>A188+1</f>
        <v>32</v>
      </c>
      <c r="B193" s="80" t="s">
        <v>164</v>
      </c>
      <c r="C193" s="11" t="s">
        <v>168</v>
      </c>
      <c r="D193" s="11" t="s">
        <v>153</v>
      </c>
      <c r="E193" s="44"/>
      <c r="F193" s="199">
        <f>F297+F181*2</f>
        <v>692.36</v>
      </c>
      <c r="G193" s="49"/>
      <c r="H193" s="49"/>
      <c r="I193" s="49"/>
      <c r="J193" s="44"/>
      <c r="K193" s="11"/>
      <c r="L193" s="11"/>
      <c r="M193" s="214"/>
      <c r="N193" s="11"/>
    </row>
    <row r="194" spans="1:14" s="52" customFormat="1" ht="15.75" customHeight="1">
      <c r="A194" s="48"/>
      <c r="B194" s="196"/>
      <c r="C194" s="32" t="s">
        <v>12</v>
      </c>
      <c r="D194" s="32" t="s">
        <v>192</v>
      </c>
      <c r="E194" s="64">
        <v>1</v>
      </c>
      <c r="F194" s="56">
        <f>F193*E194</f>
        <v>692.36</v>
      </c>
      <c r="G194" s="30">
        <v>0</v>
      </c>
      <c r="H194" s="22">
        <f>G194*F194</f>
        <v>0</v>
      </c>
      <c r="I194" s="93">
        <v>5</v>
      </c>
      <c r="J194" s="40">
        <f>I194*F194</f>
        <v>3461.8</v>
      </c>
      <c r="K194" s="30">
        <f>G194*0.03</f>
        <v>0</v>
      </c>
      <c r="L194" s="40">
        <f>K194*F194</f>
        <v>0</v>
      </c>
      <c r="M194" s="200">
        <f>G194+I194+K194</f>
        <v>5</v>
      </c>
      <c r="N194" s="22">
        <f>L194+J194+H194</f>
        <v>3461.8</v>
      </c>
    </row>
    <row r="195" spans="1:14" s="53" customFormat="1" ht="15.75" customHeight="1">
      <c r="A195" s="48"/>
      <c r="B195" s="197"/>
      <c r="C195" s="89" t="s">
        <v>149</v>
      </c>
      <c r="D195" s="97" t="s">
        <v>120</v>
      </c>
      <c r="E195" s="56">
        <f>(1.58+0.2)/100</f>
        <v>0.0178</v>
      </c>
      <c r="F195" s="202">
        <f>F193*E195</f>
        <v>12.324008000000001</v>
      </c>
      <c r="G195" s="30"/>
      <c r="H195" s="22"/>
      <c r="I195" s="93"/>
      <c r="J195" s="40"/>
      <c r="K195" s="30"/>
      <c r="L195" s="40"/>
      <c r="M195" s="200"/>
      <c r="N195" s="22"/>
    </row>
    <row r="196" spans="1:14" s="38" customFormat="1" ht="17.25" customHeight="1">
      <c r="A196" s="109"/>
      <c r="B196" s="2"/>
      <c r="C196" s="98" t="s">
        <v>89</v>
      </c>
      <c r="D196" s="20" t="s">
        <v>49</v>
      </c>
      <c r="E196" s="20">
        <v>1.16</v>
      </c>
      <c r="F196" s="54">
        <f>E196*F195</f>
        <v>14.29584928</v>
      </c>
      <c r="G196" s="30">
        <f>45/1.18</f>
        <v>38.13559322033898</v>
      </c>
      <c r="H196" s="22">
        <f>G196*F196</f>
        <v>545.180692881356</v>
      </c>
      <c r="I196" s="93"/>
      <c r="J196" s="22">
        <f>I196*F196</f>
        <v>0</v>
      </c>
      <c r="K196" s="30">
        <f>G196*0.03</f>
        <v>1.1440677966101693</v>
      </c>
      <c r="L196" s="22">
        <f>K196*F196</f>
        <v>16.355420786440675</v>
      </c>
      <c r="M196" s="200">
        <f>G196+I196+K196</f>
        <v>39.27966101694915</v>
      </c>
      <c r="N196" s="22">
        <f>L196+J196+H196</f>
        <v>561.5361136677966</v>
      </c>
    </row>
    <row r="197" spans="1:14" s="38" customFormat="1" ht="17.25" customHeight="1">
      <c r="A197" s="109"/>
      <c r="B197" s="2"/>
      <c r="C197" s="98" t="s">
        <v>90</v>
      </c>
      <c r="D197" s="20" t="s">
        <v>6</v>
      </c>
      <c r="E197" s="20">
        <v>0.416</v>
      </c>
      <c r="F197" s="54">
        <f>E197*F195</f>
        <v>5.126787328</v>
      </c>
      <c r="G197" s="30">
        <f>10.5*20/1.18</f>
        <v>177.96610169491527</v>
      </c>
      <c r="H197" s="22">
        <f>G197*F197</f>
        <v>912.3943549830509</v>
      </c>
      <c r="I197" s="93"/>
      <c r="J197" s="22">
        <f>I197*F197</f>
        <v>0</v>
      </c>
      <c r="K197" s="30">
        <f>G197*0.03</f>
        <v>5.338983050847458</v>
      </c>
      <c r="L197" s="22">
        <f>K197*F197</f>
        <v>27.371830649491525</v>
      </c>
      <c r="M197" s="200">
        <f>G197+I197+K197</f>
        <v>183.3050847457627</v>
      </c>
      <c r="N197" s="22">
        <f>L197+J197+H197</f>
        <v>939.7661856325424</v>
      </c>
    </row>
    <row r="198" spans="1:15" s="50" customFormat="1" ht="33" customHeight="1">
      <c r="A198" s="59">
        <f>A193+1</f>
        <v>33</v>
      </c>
      <c r="B198" s="117" t="s">
        <v>15</v>
      </c>
      <c r="C198" s="11" t="s">
        <v>53</v>
      </c>
      <c r="D198" s="11" t="s">
        <v>153</v>
      </c>
      <c r="E198" s="44"/>
      <c r="F198" s="199">
        <f>F203+F208+F213+F223+F239</f>
        <v>501</v>
      </c>
      <c r="G198" s="49"/>
      <c r="H198" s="49"/>
      <c r="I198" s="49"/>
      <c r="J198" s="44"/>
      <c r="K198" s="11"/>
      <c r="L198" s="11"/>
      <c r="M198" s="214"/>
      <c r="N198" s="11"/>
      <c r="O198" s="55"/>
    </row>
    <row r="199" spans="1:14" s="52" customFormat="1" ht="15.75" customHeight="1">
      <c r="A199" s="48"/>
      <c r="B199" s="9"/>
      <c r="C199" s="32" t="s">
        <v>12</v>
      </c>
      <c r="D199" s="32" t="s">
        <v>192</v>
      </c>
      <c r="E199" s="64">
        <v>1</v>
      </c>
      <c r="F199" s="56">
        <f>F198*E199</f>
        <v>501</v>
      </c>
      <c r="G199" s="30">
        <v>0</v>
      </c>
      <c r="H199" s="22">
        <f>G199*F199</f>
        <v>0</v>
      </c>
      <c r="I199" s="61">
        <v>5</v>
      </c>
      <c r="J199" s="40">
        <f>I199*F199</f>
        <v>2505</v>
      </c>
      <c r="K199" s="30">
        <f>G199*0.03</f>
        <v>0</v>
      </c>
      <c r="L199" s="40">
        <f>K199*F199</f>
        <v>0</v>
      </c>
      <c r="M199" s="200">
        <f>G199+I199+K199</f>
        <v>5</v>
      </c>
      <c r="N199" s="22">
        <f>L199+J199+H199</f>
        <v>2505</v>
      </c>
    </row>
    <row r="200" spans="1:14" s="53" customFormat="1" ht="15.75" customHeight="1">
      <c r="A200" s="48"/>
      <c r="B200" s="2"/>
      <c r="C200" s="32" t="s">
        <v>91</v>
      </c>
      <c r="D200" s="46" t="s">
        <v>49</v>
      </c>
      <c r="E200" s="56">
        <f>(2.04+0.51*6)/100</f>
        <v>0.051</v>
      </c>
      <c r="F200" s="56">
        <f>F198*E200</f>
        <v>25.551</v>
      </c>
      <c r="G200" s="30"/>
      <c r="H200" s="22"/>
      <c r="I200" s="61"/>
      <c r="J200" s="40"/>
      <c r="K200" s="30"/>
      <c r="L200" s="40"/>
      <c r="M200" s="200"/>
      <c r="N200" s="22"/>
    </row>
    <row r="201" spans="1:14" s="53" customFormat="1" ht="15.75" customHeight="1">
      <c r="A201" s="48"/>
      <c r="B201" s="2"/>
      <c r="C201" s="32" t="s">
        <v>89</v>
      </c>
      <c r="D201" s="46" t="s">
        <v>49</v>
      </c>
      <c r="E201" s="56">
        <v>1.21</v>
      </c>
      <c r="F201" s="56">
        <f>F200*E201</f>
        <v>30.91671</v>
      </c>
      <c r="G201" s="30">
        <f>45/1.18</f>
        <v>38.13559322033898</v>
      </c>
      <c r="H201" s="22">
        <f>G201*F201</f>
        <v>1179.0270762711864</v>
      </c>
      <c r="I201" s="61"/>
      <c r="J201" s="40">
        <f>I201*F201</f>
        <v>0</v>
      </c>
      <c r="K201" s="30">
        <f>G201*0.03</f>
        <v>1.1440677966101693</v>
      </c>
      <c r="L201" s="40">
        <f>K201*F201</f>
        <v>35.37081228813559</v>
      </c>
      <c r="M201" s="200">
        <f>G201+I201+K201</f>
        <v>39.27966101694915</v>
      </c>
      <c r="N201" s="22">
        <f>L201+J201+H201</f>
        <v>1214.397888559322</v>
      </c>
    </row>
    <row r="202" spans="1:14" s="53" customFormat="1" ht="15.75" customHeight="1">
      <c r="A202" s="48"/>
      <c r="B202" s="2"/>
      <c r="C202" s="32" t="s">
        <v>90</v>
      </c>
      <c r="D202" s="46" t="s">
        <v>6</v>
      </c>
      <c r="E202" s="67">
        <v>0.304</v>
      </c>
      <c r="F202" s="56">
        <f>E202*F200</f>
        <v>7.767504</v>
      </c>
      <c r="G202" s="30">
        <f>10.5*20/1.18</f>
        <v>177.96610169491527</v>
      </c>
      <c r="H202" s="22">
        <f>G202*F202</f>
        <v>1382.3524067796611</v>
      </c>
      <c r="I202" s="61"/>
      <c r="J202" s="40">
        <f>I202*F202</f>
        <v>0</v>
      </c>
      <c r="K202" s="30">
        <f>G202*0.03</f>
        <v>5.338983050847458</v>
      </c>
      <c r="L202" s="40">
        <f>K202*F202</f>
        <v>41.47057220338983</v>
      </c>
      <c r="M202" s="200">
        <f>G202+I202+K202</f>
        <v>183.3050847457627</v>
      </c>
      <c r="N202" s="22">
        <f>L202+J202+H202</f>
        <v>1423.822978983051</v>
      </c>
    </row>
    <row r="203" spans="1:14" s="53" customFormat="1" ht="33" customHeight="1">
      <c r="A203" s="59">
        <f>A198+1</f>
        <v>34</v>
      </c>
      <c r="B203" s="80" t="s">
        <v>16</v>
      </c>
      <c r="C203" s="14" t="s">
        <v>196</v>
      </c>
      <c r="D203" s="14" t="s">
        <v>153</v>
      </c>
      <c r="E203" s="36"/>
      <c r="F203" s="199">
        <v>78</v>
      </c>
      <c r="G203" s="30"/>
      <c r="H203" s="22"/>
      <c r="I203" s="61"/>
      <c r="J203" s="40"/>
      <c r="K203" s="30"/>
      <c r="L203" s="40"/>
      <c r="M203" s="206"/>
      <c r="N203" s="61"/>
    </row>
    <row r="204" spans="1:14" s="53" customFormat="1" ht="15.75" customHeight="1">
      <c r="A204" s="48"/>
      <c r="B204" s="9"/>
      <c r="C204" s="31" t="s">
        <v>12</v>
      </c>
      <c r="D204" s="32" t="s">
        <v>192</v>
      </c>
      <c r="E204" s="24">
        <v>1</v>
      </c>
      <c r="F204" s="56">
        <f>F203*E204</f>
        <v>78</v>
      </c>
      <c r="G204" s="30">
        <v>0</v>
      </c>
      <c r="H204" s="22">
        <f>G204*F204</f>
        <v>0</v>
      </c>
      <c r="I204" s="61">
        <v>15</v>
      </c>
      <c r="J204" s="40">
        <f>I204*F204</f>
        <v>1170</v>
      </c>
      <c r="K204" s="30">
        <f>G204*0.03</f>
        <v>0</v>
      </c>
      <c r="L204" s="40">
        <f>K204*F204</f>
        <v>0</v>
      </c>
      <c r="M204" s="200">
        <f>G204+I204+K204</f>
        <v>15</v>
      </c>
      <c r="N204" s="22">
        <f>L204+J204+H204</f>
        <v>1170</v>
      </c>
    </row>
    <row r="205" spans="1:14" s="53" customFormat="1" ht="15.75" customHeight="1">
      <c r="A205" s="48"/>
      <c r="B205" s="2"/>
      <c r="C205" s="31" t="s">
        <v>31</v>
      </c>
      <c r="D205" s="32" t="s">
        <v>81</v>
      </c>
      <c r="E205" s="24">
        <v>5</v>
      </c>
      <c r="F205" s="56">
        <f>F203*E205</f>
        <v>390</v>
      </c>
      <c r="G205" s="30">
        <f>10/25/1.18</f>
        <v>0.33898305084745767</v>
      </c>
      <c r="H205" s="22">
        <f>G205*F205</f>
        <v>132.20338983050848</v>
      </c>
      <c r="I205" s="61"/>
      <c r="J205" s="40">
        <f>I205*F205</f>
        <v>0</v>
      </c>
      <c r="K205" s="30">
        <f>G205*0.03</f>
        <v>0.01016949152542373</v>
      </c>
      <c r="L205" s="40">
        <f>K205*F205</f>
        <v>3.9661016949152548</v>
      </c>
      <c r="M205" s="200">
        <f>G205+I205+K205</f>
        <v>0.3491525423728814</v>
      </c>
      <c r="N205" s="22">
        <f>L205+J205+H205</f>
        <v>136.16949152542375</v>
      </c>
    </row>
    <row r="206" spans="1:14" s="53" customFormat="1" ht="15.75" customHeight="1">
      <c r="A206" s="48"/>
      <c r="B206" s="10"/>
      <c r="C206" s="31" t="s">
        <v>55</v>
      </c>
      <c r="D206" s="31" t="s">
        <v>192</v>
      </c>
      <c r="E206" s="24">
        <v>1.05</v>
      </c>
      <c r="F206" s="56">
        <f>E206*F203</f>
        <v>81.9</v>
      </c>
      <c r="G206" s="30">
        <f>23/1.18</f>
        <v>19.491525423728813</v>
      </c>
      <c r="H206" s="22">
        <f>G206*F206</f>
        <v>1596.35593220339</v>
      </c>
      <c r="I206" s="61"/>
      <c r="J206" s="40">
        <f>I206*F206</f>
        <v>0</v>
      </c>
      <c r="K206" s="30">
        <f>G206*0.03</f>
        <v>0.5847457627118644</v>
      </c>
      <c r="L206" s="40">
        <f>K206*F206</f>
        <v>47.8906779661017</v>
      </c>
      <c r="M206" s="200">
        <f>G206+I206+K206</f>
        <v>20.076271186440678</v>
      </c>
      <c r="N206" s="22">
        <f>L206+J206+H206</f>
        <v>1644.2466101694918</v>
      </c>
    </row>
    <row r="207" spans="1:14" s="53" customFormat="1" ht="15.75" customHeight="1">
      <c r="A207" s="48"/>
      <c r="B207" s="10"/>
      <c r="C207" s="31" t="s">
        <v>54</v>
      </c>
      <c r="D207" s="32" t="s">
        <v>81</v>
      </c>
      <c r="E207" s="24">
        <v>0.3</v>
      </c>
      <c r="F207" s="56">
        <f>E207*F203</f>
        <v>23.4</v>
      </c>
      <c r="G207" s="30">
        <v>1.3</v>
      </c>
      <c r="H207" s="22">
        <f>G207*F207</f>
        <v>30.419999999999998</v>
      </c>
      <c r="I207" s="61"/>
      <c r="J207" s="40">
        <f>I207*F207</f>
        <v>0</v>
      </c>
      <c r="K207" s="30">
        <f>G207*0.03</f>
        <v>0.039</v>
      </c>
      <c r="L207" s="40">
        <f>K207*F207</f>
        <v>0.9126</v>
      </c>
      <c r="M207" s="200">
        <f>G207+I207+K207</f>
        <v>1.339</v>
      </c>
      <c r="N207" s="22">
        <f>L207+J207+H207</f>
        <v>31.3326</v>
      </c>
    </row>
    <row r="208" spans="1:14" s="53" customFormat="1" ht="33" customHeight="1">
      <c r="A208" s="59">
        <f>A203+1</f>
        <v>35</v>
      </c>
      <c r="B208" s="80" t="s">
        <v>16</v>
      </c>
      <c r="C208" s="14" t="s">
        <v>197</v>
      </c>
      <c r="D208" s="14" t="s">
        <v>153</v>
      </c>
      <c r="E208" s="36"/>
      <c r="F208" s="199">
        <v>64</v>
      </c>
      <c r="G208" s="30"/>
      <c r="H208" s="22"/>
      <c r="I208" s="61"/>
      <c r="J208" s="40"/>
      <c r="K208" s="30"/>
      <c r="L208" s="40"/>
      <c r="M208" s="206"/>
      <c r="N208" s="61"/>
    </row>
    <row r="209" spans="1:14" s="53" customFormat="1" ht="15.75" customHeight="1">
      <c r="A209" s="48"/>
      <c r="B209" s="9"/>
      <c r="C209" s="31" t="s">
        <v>12</v>
      </c>
      <c r="D209" s="32" t="s">
        <v>192</v>
      </c>
      <c r="E209" s="24">
        <v>1</v>
      </c>
      <c r="F209" s="56">
        <f>F208*E209</f>
        <v>64</v>
      </c>
      <c r="G209" s="30">
        <v>0</v>
      </c>
      <c r="H209" s="22">
        <f>G209*F209</f>
        <v>0</v>
      </c>
      <c r="I209" s="61">
        <v>15</v>
      </c>
      <c r="J209" s="40">
        <f>I209*F209</f>
        <v>960</v>
      </c>
      <c r="K209" s="30">
        <f>G209*0.03</f>
        <v>0</v>
      </c>
      <c r="L209" s="40">
        <f>K209*F209</f>
        <v>0</v>
      </c>
      <c r="M209" s="200">
        <f>G209+I209+K209</f>
        <v>15</v>
      </c>
      <c r="N209" s="22">
        <f>L209+J209+H209</f>
        <v>960</v>
      </c>
    </row>
    <row r="210" spans="1:14" s="53" customFormat="1" ht="15.75" customHeight="1">
      <c r="A210" s="48"/>
      <c r="B210" s="2"/>
      <c r="C210" s="31" t="s">
        <v>31</v>
      </c>
      <c r="D210" s="32" t="s">
        <v>81</v>
      </c>
      <c r="E210" s="24">
        <v>5</v>
      </c>
      <c r="F210" s="56">
        <f>F208*E210</f>
        <v>320</v>
      </c>
      <c r="G210" s="30">
        <f>10/25/1.18</f>
        <v>0.33898305084745767</v>
      </c>
      <c r="H210" s="22">
        <f>G210*F210</f>
        <v>108.47457627118645</v>
      </c>
      <c r="I210" s="61"/>
      <c r="J210" s="40">
        <f>I210*F210</f>
        <v>0</v>
      </c>
      <c r="K210" s="30">
        <f>G210*0.03</f>
        <v>0.01016949152542373</v>
      </c>
      <c r="L210" s="40">
        <f>K210*F210</f>
        <v>3.2542372881355934</v>
      </c>
      <c r="M210" s="200">
        <f>G210+I210+K210</f>
        <v>0.3491525423728814</v>
      </c>
      <c r="N210" s="22">
        <f>L210+J210+H210</f>
        <v>111.72881355932205</v>
      </c>
    </row>
    <row r="211" spans="1:14" s="53" customFormat="1" ht="15.75" customHeight="1">
      <c r="A211" s="48"/>
      <c r="B211" s="10"/>
      <c r="C211" s="31" t="s">
        <v>55</v>
      </c>
      <c r="D211" s="31" t="s">
        <v>192</v>
      </c>
      <c r="E211" s="24">
        <v>1.05</v>
      </c>
      <c r="F211" s="56">
        <f>E211*F208</f>
        <v>67.2</v>
      </c>
      <c r="G211" s="30">
        <f>23/1.18</f>
        <v>19.491525423728813</v>
      </c>
      <c r="H211" s="22">
        <f>G211*F211</f>
        <v>1309.8305084745764</v>
      </c>
      <c r="I211" s="61"/>
      <c r="J211" s="40">
        <f>I211*F211</f>
        <v>0</v>
      </c>
      <c r="K211" s="30">
        <f>G211*0.03</f>
        <v>0.5847457627118644</v>
      </c>
      <c r="L211" s="40">
        <f>K211*F211</f>
        <v>39.29491525423729</v>
      </c>
      <c r="M211" s="200">
        <f>G211+I211+K211</f>
        <v>20.076271186440678</v>
      </c>
      <c r="N211" s="22">
        <f>L211+J211+H211</f>
        <v>1349.1254237288138</v>
      </c>
    </row>
    <row r="212" spans="1:14" s="53" customFormat="1" ht="15.75" customHeight="1">
      <c r="A212" s="48"/>
      <c r="B212" s="10"/>
      <c r="C212" s="31" t="s">
        <v>54</v>
      </c>
      <c r="D212" s="32" t="s">
        <v>81</v>
      </c>
      <c r="E212" s="24">
        <v>0.3</v>
      </c>
      <c r="F212" s="56">
        <f>E212*F208</f>
        <v>19.2</v>
      </c>
      <c r="G212" s="30">
        <v>1.3</v>
      </c>
      <c r="H212" s="22">
        <f>G212*F212</f>
        <v>24.96</v>
      </c>
      <c r="I212" s="61"/>
      <c r="J212" s="40">
        <f>I212*F212</f>
        <v>0</v>
      </c>
      <c r="K212" s="30">
        <f>G212*0.03</f>
        <v>0.039</v>
      </c>
      <c r="L212" s="40">
        <f>K212*F212</f>
        <v>0.7488</v>
      </c>
      <c r="M212" s="200">
        <f>G212+I212+K212</f>
        <v>1.339</v>
      </c>
      <c r="N212" s="22">
        <f>L212+J212+H212</f>
        <v>25.7088</v>
      </c>
    </row>
    <row r="213" spans="1:14" s="53" customFormat="1" ht="33" customHeight="1">
      <c r="A213" s="59">
        <f>A208+1</f>
        <v>36</v>
      </c>
      <c r="B213" s="80" t="s">
        <v>16</v>
      </c>
      <c r="C213" s="14" t="s">
        <v>198</v>
      </c>
      <c r="D213" s="14" t="s">
        <v>153</v>
      </c>
      <c r="E213" s="36"/>
      <c r="F213" s="199">
        <v>60</v>
      </c>
      <c r="G213" s="30"/>
      <c r="H213" s="22"/>
      <c r="I213" s="61"/>
      <c r="J213" s="40"/>
      <c r="K213" s="30"/>
      <c r="L213" s="40"/>
      <c r="M213" s="206"/>
      <c r="N213" s="61"/>
    </row>
    <row r="214" spans="1:14" s="53" customFormat="1" ht="15.75" customHeight="1">
      <c r="A214" s="48"/>
      <c r="B214" s="9"/>
      <c r="C214" s="31" t="s">
        <v>12</v>
      </c>
      <c r="D214" s="32" t="s">
        <v>192</v>
      </c>
      <c r="E214" s="24">
        <v>1</v>
      </c>
      <c r="F214" s="56">
        <f>F213*E214</f>
        <v>60</v>
      </c>
      <c r="G214" s="30">
        <v>0</v>
      </c>
      <c r="H214" s="22">
        <f>G214*F214</f>
        <v>0</v>
      </c>
      <c r="I214" s="61">
        <v>15</v>
      </c>
      <c r="J214" s="40">
        <f>I214*F214</f>
        <v>900</v>
      </c>
      <c r="K214" s="30">
        <f>G214*0.03</f>
        <v>0</v>
      </c>
      <c r="L214" s="40">
        <f>K214*F214</f>
        <v>0</v>
      </c>
      <c r="M214" s="200">
        <f>G214+I214+K214</f>
        <v>15</v>
      </c>
      <c r="N214" s="22">
        <f>L214+J214+H214</f>
        <v>900</v>
      </c>
    </row>
    <row r="215" spans="1:14" s="53" customFormat="1" ht="15.75" customHeight="1">
      <c r="A215" s="48"/>
      <c r="B215" s="2"/>
      <c r="C215" s="31" t="s">
        <v>31</v>
      </c>
      <c r="D215" s="32" t="s">
        <v>81</v>
      </c>
      <c r="E215" s="24">
        <v>5</v>
      </c>
      <c r="F215" s="56">
        <f>F213*E215</f>
        <v>300</v>
      </c>
      <c r="G215" s="30">
        <f>10/25/1.18</f>
        <v>0.33898305084745767</v>
      </c>
      <c r="H215" s="22">
        <f>G215*F215</f>
        <v>101.6949152542373</v>
      </c>
      <c r="I215" s="61"/>
      <c r="J215" s="40">
        <f>I215*F215</f>
        <v>0</v>
      </c>
      <c r="K215" s="30">
        <f>G215*0.03</f>
        <v>0.01016949152542373</v>
      </c>
      <c r="L215" s="40">
        <f>K215*F215</f>
        <v>3.050847457627119</v>
      </c>
      <c r="M215" s="200">
        <f>G215+I215+K215</f>
        <v>0.3491525423728814</v>
      </c>
      <c r="N215" s="22">
        <f>L215+J215+H215</f>
        <v>104.74576271186442</v>
      </c>
    </row>
    <row r="216" spans="1:14" s="53" customFormat="1" ht="15.75" customHeight="1">
      <c r="A216" s="48"/>
      <c r="B216" s="10"/>
      <c r="C216" s="31" t="s">
        <v>88</v>
      </c>
      <c r="D216" s="31" t="s">
        <v>192</v>
      </c>
      <c r="E216" s="24">
        <v>1.05</v>
      </c>
      <c r="F216" s="56">
        <f>E216*F213</f>
        <v>63</v>
      </c>
      <c r="G216" s="30">
        <f>18/1.18</f>
        <v>15.254237288135593</v>
      </c>
      <c r="H216" s="22">
        <f>G216*F216</f>
        <v>961.0169491525423</v>
      </c>
      <c r="I216" s="61"/>
      <c r="J216" s="40">
        <f>I216*F216</f>
        <v>0</v>
      </c>
      <c r="K216" s="30">
        <f>G216*0.03</f>
        <v>0.4576271186440678</v>
      </c>
      <c r="L216" s="40">
        <f>K216*F216</f>
        <v>28.83050847457627</v>
      </c>
      <c r="M216" s="200">
        <f>G216+I216+K216</f>
        <v>15.711864406779661</v>
      </c>
      <c r="N216" s="22">
        <f>L216+J216+H216</f>
        <v>989.8474576271186</v>
      </c>
    </row>
    <row r="217" spans="1:14" s="53" customFormat="1" ht="15.75" customHeight="1">
      <c r="A217" s="48"/>
      <c r="B217" s="10"/>
      <c r="C217" s="31" t="s">
        <v>54</v>
      </c>
      <c r="D217" s="32" t="s">
        <v>81</v>
      </c>
      <c r="E217" s="24">
        <v>0.3</v>
      </c>
      <c r="F217" s="56">
        <f>E217*F213</f>
        <v>18</v>
      </c>
      <c r="G217" s="30">
        <v>1.3</v>
      </c>
      <c r="H217" s="22">
        <f>G217*F217</f>
        <v>23.400000000000002</v>
      </c>
      <c r="I217" s="61"/>
      <c r="J217" s="40">
        <f>I217*F217</f>
        <v>0</v>
      </c>
      <c r="K217" s="30">
        <f>G217*0.03</f>
        <v>0.039</v>
      </c>
      <c r="L217" s="40">
        <f>K217*F217</f>
        <v>0.702</v>
      </c>
      <c r="M217" s="200">
        <f>G217+I217+K217</f>
        <v>1.339</v>
      </c>
      <c r="N217" s="22">
        <f>L217+J217+H217</f>
        <v>24.102000000000004</v>
      </c>
    </row>
    <row r="218" spans="1:14" s="53" customFormat="1" ht="33" customHeight="1">
      <c r="A218" s="59">
        <f>A213+1</f>
        <v>37</v>
      </c>
      <c r="B218" s="80" t="s">
        <v>215</v>
      </c>
      <c r="C218" s="14" t="s">
        <v>216</v>
      </c>
      <c r="D218" s="14" t="s">
        <v>5</v>
      </c>
      <c r="E218" s="36"/>
      <c r="F218" s="199">
        <f>67.83+30.9</f>
        <v>98.72999999999999</v>
      </c>
      <c r="G218" s="30"/>
      <c r="H218" s="22"/>
      <c r="I218" s="61"/>
      <c r="J218" s="40"/>
      <c r="K218" s="30"/>
      <c r="L218" s="40"/>
      <c r="M218" s="206"/>
      <c r="N218" s="61"/>
    </row>
    <row r="219" spans="1:14" s="53" customFormat="1" ht="15.75" customHeight="1">
      <c r="A219" s="48"/>
      <c r="B219" s="9"/>
      <c r="C219" s="31" t="s">
        <v>12</v>
      </c>
      <c r="D219" s="32" t="str">
        <f>D218</f>
        <v>grZ.m.</v>
      </c>
      <c r="E219" s="24">
        <v>1</v>
      </c>
      <c r="F219" s="24">
        <f>F218*E219</f>
        <v>98.72999999999999</v>
      </c>
      <c r="G219" s="30">
        <v>0</v>
      </c>
      <c r="H219" s="22">
        <f>G219*F219</f>
        <v>0</v>
      </c>
      <c r="I219" s="45">
        <v>3.75</v>
      </c>
      <c r="J219" s="40">
        <f>I219*F219</f>
        <v>370.23749999999995</v>
      </c>
      <c r="K219" s="30">
        <f>G219*0.03</f>
        <v>0</v>
      </c>
      <c r="L219" s="40">
        <f>K219*F219</f>
        <v>0</v>
      </c>
      <c r="M219" s="200">
        <f>G219+I219+K219</f>
        <v>3.75</v>
      </c>
      <c r="N219" s="22">
        <f>L219+J219+H219</f>
        <v>370.23749999999995</v>
      </c>
    </row>
    <row r="220" spans="1:14" s="53" customFormat="1" ht="15.75" customHeight="1">
      <c r="A220" s="48"/>
      <c r="B220" s="2"/>
      <c r="C220" s="31" t="s">
        <v>31</v>
      </c>
      <c r="D220" s="32" t="s">
        <v>81</v>
      </c>
      <c r="E220" s="24">
        <v>5</v>
      </c>
      <c r="F220" s="24">
        <f>F218*E220</f>
        <v>493.65</v>
      </c>
      <c r="G220" s="30">
        <f>10/25/1.18</f>
        <v>0.33898305084745767</v>
      </c>
      <c r="H220" s="22">
        <f>G220*F220</f>
        <v>167.33898305084747</v>
      </c>
      <c r="I220" s="61"/>
      <c r="J220" s="40">
        <f>I220*F220</f>
        <v>0</v>
      </c>
      <c r="K220" s="30">
        <f>G220*0.03</f>
        <v>0.01016949152542373</v>
      </c>
      <c r="L220" s="40">
        <f>K220*F220</f>
        <v>5.020169491525424</v>
      </c>
      <c r="M220" s="200">
        <f>G220+I220+K220</f>
        <v>0.3491525423728814</v>
      </c>
      <c r="N220" s="22">
        <f>L220+J220+H220</f>
        <v>172.3591525423729</v>
      </c>
    </row>
    <row r="221" spans="1:14" s="53" customFormat="1" ht="15.75" customHeight="1">
      <c r="A221" s="48"/>
      <c r="B221" s="10"/>
      <c r="C221" s="31" t="s">
        <v>55</v>
      </c>
      <c r="D221" s="31" t="s">
        <v>192</v>
      </c>
      <c r="E221" s="24">
        <v>1.57</v>
      </c>
      <c r="F221" s="24">
        <f>E221*F218</f>
        <v>155.0061</v>
      </c>
      <c r="G221" s="30">
        <f>23/1.18</f>
        <v>19.491525423728813</v>
      </c>
      <c r="H221" s="22">
        <f>G221*F221</f>
        <v>3021.3053389830507</v>
      </c>
      <c r="I221" s="61"/>
      <c r="J221" s="40">
        <f>I221*F221</f>
        <v>0</v>
      </c>
      <c r="K221" s="30">
        <f>G221*0.03</f>
        <v>0.5847457627118644</v>
      </c>
      <c r="L221" s="40">
        <f>K221*F221</f>
        <v>90.63916016949153</v>
      </c>
      <c r="M221" s="200">
        <f>G221+I221+K221</f>
        <v>20.076271186440678</v>
      </c>
      <c r="N221" s="22">
        <f>L221+J221+H221</f>
        <v>3111.944499152542</v>
      </c>
    </row>
    <row r="222" spans="1:14" s="53" customFormat="1" ht="15.75" customHeight="1">
      <c r="A222" s="48"/>
      <c r="B222" s="10"/>
      <c r="C222" s="31" t="s">
        <v>54</v>
      </c>
      <c r="D222" s="32" t="s">
        <v>81</v>
      </c>
      <c r="E222" s="24">
        <v>0.3</v>
      </c>
      <c r="F222" s="24">
        <f>E222*F218</f>
        <v>29.618999999999996</v>
      </c>
      <c r="G222" s="30">
        <v>1.3</v>
      </c>
      <c r="H222" s="22">
        <f>G222*F222</f>
        <v>38.5047</v>
      </c>
      <c r="I222" s="61"/>
      <c r="J222" s="40">
        <f>I222*F222</f>
        <v>0</v>
      </c>
      <c r="K222" s="30">
        <f>G222*0.03</f>
        <v>0.039</v>
      </c>
      <c r="L222" s="40">
        <f>K222*F222</f>
        <v>1.1551409999999998</v>
      </c>
      <c r="M222" s="200">
        <f>G222+I222+K222</f>
        <v>1.339</v>
      </c>
      <c r="N222" s="22">
        <f>L222+J222+H222</f>
        <v>39.659841</v>
      </c>
    </row>
    <row r="223" spans="1:14" s="53" customFormat="1" ht="18">
      <c r="A223" s="59">
        <f>A218+1</f>
        <v>38</v>
      </c>
      <c r="B223" s="80" t="s">
        <v>172</v>
      </c>
      <c r="C223" s="14" t="s">
        <v>170</v>
      </c>
      <c r="D223" s="14" t="s">
        <v>153</v>
      </c>
      <c r="E223" s="36"/>
      <c r="F223" s="199">
        <v>68</v>
      </c>
      <c r="G223" s="30"/>
      <c r="H223" s="22"/>
      <c r="I223" s="61"/>
      <c r="J223" s="40"/>
      <c r="K223" s="30"/>
      <c r="L223" s="40"/>
      <c r="M223" s="206"/>
      <c r="N223" s="61"/>
    </row>
    <row r="224" spans="1:14" s="53" customFormat="1" ht="15.75" customHeight="1">
      <c r="A224" s="48"/>
      <c r="B224" s="9"/>
      <c r="C224" s="31" t="s">
        <v>12</v>
      </c>
      <c r="D224" s="31" t="s">
        <v>192</v>
      </c>
      <c r="E224" s="24">
        <v>1</v>
      </c>
      <c r="F224" s="56">
        <f>F223*E224</f>
        <v>68</v>
      </c>
      <c r="G224" s="30">
        <v>0</v>
      </c>
      <c r="H224" s="22">
        <f>G224*F224</f>
        <v>0</v>
      </c>
      <c r="I224" s="61">
        <v>15</v>
      </c>
      <c r="J224" s="40">
        <f>I224*F224</f>
        <v>1020</v>
      </c>
      <c r="K224" s="30">
        <f>G224*0.03</f>
        <v>0</v>
      </c>
      <c r="L224" s="40">
        <f>K224*F224</f>
        <v>0</v>
      </c>
      <c r="M224" s="200">
        <f>G224+I224+K224</f>
        <v>15</v>
      </c>
      <c r="N224" s="22">
        <f>L224+J224+H224</f>
        <v>1020</v>
      </c>
    </row>
    <row r="225" spans="1:14" s="53" customFormat="1" ht="15.75" customHeight="1">
      <c r="A225" s="48"/>
      <c r="B225" s="2"/>
      <c r="C225" s="31" t="s">
        <v>171</v>
      </c>
      <c r="D225" s="31" t="s">
        <v>192</v>
      </c>
      <c r="E225" s="24">
        <v>1.05</v>
      </c>
      <c r="F225" s="56">
        <f>F223*E225</f>
        <v>71.4</v>
      </c>
      <c r="G225" s="30">
        <f>22/1.18</f>
        <v>18.64406779661017</v>
      </c>
      <c r="H225" s="22">
        <f>G225*F225</f>
        <v>1331.1864406779662</v>
      </c>
      <c r="I225" s="61"/>
      <c r="J225" s="40">
        <f>I225*F225</f>
        <v>0</v>
      </c>
      <c r="K225" s="30">
        <f>G225*0.03</f>
        <v>0.559322033898305</v>
      </c>
      <c r="L225" s="40">
        <f>K225*F225</f>
        <v>39.93559322033898</v>
      </c>
      <c r="M225" s="200">
        <f>G225+I225+K225</f>
        <v>19.203389830508474</v>
      </c>
      <c r="N225" s="22">
        <f>L225+J225+H225</f>
        <v>1371.122033898305</v>
      </c>
    </row>
    <row r="226" spans="1:14" s="53" customFormat="1" ht="15.75" customHeight="1">
      <c r="A226" s="48"/>
      <c r="B226" s="10"/>
      <c r="C226" s="31" t="s">
        <v>173</v>
      </c>
      <c r="D226" s="31" t="s">
        <v>5</v>
      </c>
      <c r="E226" s="24">
        <v>1.07</v>
      </c>
      <c r="F226" s="56">
        <f>E226*F223</f>
        <v>72.76</v>
      </c>
      <c r="G226" s="30">
        <f>4/2.5/1.18</f>
        <v>1.3559322033898307</v>
      </c>
      <c r="H226" s="22">
        <f>G226*F226</f>
        <v>98.65762711864409</v>
      </c>
      <c r="I226" s="61"/>
      <c r="J226" s="40">
        <f>I226*F226</f>
        <v>0</v>
      </c>
      <c r="K226" s="30">
        <f>G226*0.03</f>
        <v>0.04067796610169492</v>
      </c>
      <c r="L226" s="40">
        <f>K226*F226</f>
        <v>2.9597288135593227</v>
      </c>
      <c r="M226" s="200">
        <f>G226+I226+K226</f>
        <v>1.3966101694915256</v>
      </c>
      <c r="N226" s="22">
        <f>L226+J226+H226</f>
        <v>101.61735593220341</v>
      </c>
    </row>
    <row r="227" spans="1:14" s="53" customFormat="1" ht="33" customHeight="1">
      <c r="A227" s="59">
        <f>A223+1</f>
        <v>39</v>
      </c>
      <c r="B227" s="80" t="s">
        <v>16</v>
      </c>
      <c r="C227" s="14" t="s">
        <v>217</v>
      </c>
      <c r="D227" s="14" t="s">
        <v>153</v>
      </c>
      <c r="E227" s="36"/>
      <c r="F227" s="199">
        <v>18</v>
      </c>
      <c r="G227" s="30"/>
      <c r="H227" s="22"/>
      <c r="I227" s="61"/>
      <c r="J227" s="40"/>
      <c r="K227" s="30"/>
      <c r="L227" s="40"/>
      <c r="M227" s="206"/>
      <c r="N227" s="61"/>
    </row>
    <row r="228" spans="1:14" s="53" customFormat="1" ht="15.75" customHeight="1">
      <c r="A228" s="48"/>
      <c r="B228" s="9"/>
      <c r="C228" s="31" t="s">
        <v>12</v>
      </c>
      <c r="D228" s="31" t="s">
        <v>192</v>
      </c>
      <c r="E228" s="24">
        <v>1</v>
      </c>
      <c r="F228" s="56">
        <f>F227*E228</f>
        <v>18</v>
      </c>
      <c r="G228" s="30">
        <v>0</v>
      </c>
      <c r="H228" s="22">
        <f>G228*F228</f>
        <v>0</v>
      </c>
      <c r="I228" s="61">
        <f>30*1.25</f>
        <v>37.5</v>
      </c>
      <c r="J228" s="40">
        <f>I228*F228</f>
        <v>675</v>
      </c>
      <c r="K228" s="30">
        <f>G228*0.03</f>
        <v>0</v>
      </c>
      <c r="L228" s="40">
        <f>K228*F228</f>
        <v>0</v>
      </c>
      <c r="M228" s="200">
        <f>G228+I228+K228</f>
        <v>37.5</v>
      </c>
      <c r="N228" s="22">
        <f>L228+J228+H228</f>
        <v>675</v>
      </c>
    </row>
    <row r="229" spans="1:14" s="53" customFormat="1" ht="15.75" customHeight="1">
      <c r="A229" s="48"/>
      <c r="B229" s="2"/>
      <c r="C229" s="32" t="s">
        <v>91</v>
      </c>
      <c r="D229" s="46" t="s">
        <v>49</v>
      </c>
      <c r="E229" s="56">
        <f>(2.04+0.51*6)/100</f>
        <v>0.051</v>
      </c>
      <c r="F229" s="56">
        <f>F227*E229</f>
        <v>0.9179999999999999</v>
      </c>
      <c r="G229" s="30"/>
      <c r="H229" s="22"/>
      <c r="I229" s="61"/>
      <c r="J229" s="40"/>
      <c r="K229" s="30"/>
      <c r="L229" s="40"/>
      <c r="M229" s="200"/>
      <c r="N229" s="22"/>
    </row>
    <row r="230" spans="1:14" s="53" customFormat="1" ht="15.75" customHeight="1">
      <c r="A230" s="48"/>
      <c r="B230" s="2"/>
      <c r="C230" s="32" t="s">
        <v>89</v>
      </c>
      <c r="D230" s="46" t="s">
        <v>49</v>
      </c>
      <c r="E230" s="20">
        <v>1.21</v>
      </c>
      <c r="F230" s="54">
        <f>E230*F229</f>
        <v>1.1107799999999999</v>
      </c>
      <c r="G230" s="30">
        <f>45/1.18</f>
        <v>38.13559322033898</v>
      </c>
      <c r="H230" s="22">
        <f>G230*F230</f>
        <v>42.36025423728813</v>
      </c>
      <c r="I230" s="61"/>
      <c r="J230" s="40">
        <f>I230*F230</f>
        <v>0</v>
      </c>
      <c r="K230" s="30">
        <f>G230*0.03</f>
        <v>1.1440677966101693</v>
      </c>
      <c r="L230" s="40">
        <f>K230*F230</f>
        <v>1.2708076271186437</v>
      </c>
      <c r="M230" s="200">
        <f>G230+I230+K230</f>
        <v>39.27966101694915</v>
      </c>
      <c r="N230" s="22">
        <f>L230+J230+H230</f>
        <v>43.631061864406774</v>
      </c>
    </row>
    <row r="231" spans="1:14" s="53" customFormat="1" ht="15.75" customHeight="1">
      <c r="A231" s="48"/>
      <c r="B231" s="2"/>
      <c r="C231" s="32" t="s">
        <v>90</v>
      </c>
      <c r="D231" s="46" t="s">
        <v>6</v>
      </c>
      <c r="E231" s="20">
        <v>0.304</v>
      </c>
      <c r="F231" s="54">
        <f>E231*F229</f>
        <v>0.279072</v>
      </c>
      <c r="G231" s="30">
        <f>10.5*20/1.18</f>
        <v>177.96610169491527</v>
      </c>
      <c r="H231" s="22">
        <f>G231*F231</f>
        <v>49.66535593220339</v>
      </c>
      <c r="I231" s="61"/>
      <c r="J231" s="40">
        <f>I231*F231</f>
        <v>0</v>
      </c>
      <c r="K231" s="30">
        <f>G231*0.03</f>
        <v>5.338983050847458</v>
      </c>
      <c r="L231" s="40">
        <f>K231*F231</f>
        <v>1.4899606779661017</v>
      </c>
      <c r="M231" s="200">
        <f>G231+I231+K231</f>
        <v>183.3050847457627</v>
      </c>
      <c r="N231" s="22">
        <f>L231+J231+H231</f>
        <v>51.15531661016949</v>
      </c>
    </row>
    <row r="232" spans="1:14" s="53" customFormat="1" ht="15.75" customHeight="1">
      <c r="A232" s="48"/>
      <c r="B232" s="10"/>
      <c r="C232" s="31" t="s">
        <v>174</v>
      </c>
      <c r="D232" s="31" t="s">
        <v>192</v>
      </c>
      <c r="E232" s="24">
        <v>1.15</v>
      </c>
      <c r="F232" s="56">
        <f>E232*F227</f>
        <v>20.7</v>
      </c>
      <c r="G232" s="30">
        <f>65/1.18</f>
        <v>55.08474576271187</v>
      </c>
      <c r="H232" s="22">
        <f>G232*F232</f>
        <v>1140.2542372881355</v>
      </c>
      <c r="I232" s="61"/>
      <c r="J232" s="40">
        <f>I232*F232</f>
        <v>0</v>
      </c>
      <c r="K232" s="30">
        <f>G232*0.03</f>
        <v>1.652542372881356</v>
      </c>
      <c r="L232" s="40">
        <f>K232*F232</f>
        <v>34.20762711864407</v>
      </c>
      <c r="M232" s="200">
        <f>G232+I232+K232</f>
        <v>56.737288135593225</v>
      </c>
      <c r="N232" s="22">
        <f>L232+J232+H232</f>
        <v>1174.4618644067796</v>
      </c>
    </row>
    <row r="233" spans="1:14" s="53" customFormat="1" ht="33" customHeight="1">
      <c r="A233" s="59">
        <f>A227+1</f>
        <v>40</v>
      </c>
      <c r="B233" s="80" t="s">
        <v>16</v>
      </c>
      <c r="C233" s="14" t="s">
        <v>211</v>
      </c>
      <c r="D233" s="14" t="s">
        <v>153</v>
      </c>
      <c r="E233" s="36"/>
      <c r="F233" s="199">
        <f>23*1.75</f>
        <v>40.25</v>
      </c>
      <c r="G233" s="30"/>
      <c r="H233" s="22"/>
      <c r="I233" s="61"/>
      <c r="J233" s="40"/>
      <c r="K233" s="30"/>
      <c r="L233" s="40"/>
      <c r="M233" s="206"/>
      <c r="N233" s="61"/>
    </row>
    <row r="234" spans="1:14" s="53" customFormat="1" ht="15.75" customHeight="1">
      <c r="A234" s="48"/>
      <c r="B234" s="9"/>
      <c r="C234" s="31" t="s">
        <v>12</v>
      </c>
      <c r="D234" s="31" t="s">
        <v>192</v>
      </c>
      <c r="E234" s="24">
        <v>1</v>
      </c>
      <c r="F234" s="56">
        <f>F233*E234</f>
        <v>40.25</v>
      </c>
      <c r="G234" s="30">
        <v>0</v>
      </c>
      <c r="H234" s="22">
        <f>G234*F234</f>
        <v>0</v>
      </c>
      <c r="I234" s="61">
        <f>25*1.25</f>
        <v>31.25</v>
      </c>
      <c r="J234" s="40">
        <f>I234*F234</f>
        <v>1257.8125</v>
      </c>
      <c r="K234" s="30">
        <f>G234*0.03</f>
        <v>0</v>
      </c>
      <c r="L234" s="40">
        <f>K234*F234</f>
        <v>0</v>
      </c>
      <c r="M234" s="200">
        <f>G234+I234+K234</f>
        <v>31.25</v>
      </c>
      <c r="N234" s="22">
        <f>L234+J234+H234</f>
        <v>1257.8125</v>
      </c>
    </row>
    <row r="235" spans="1:14" s="53" customFormat="1" ht="15.75" customHeight="1">
      <c r="A235" s="48"/>
      <c r="B235" s="2"/>
      <c r="C235" s="32" t="s">
        <v>91</v>
      </c>
      <c r="D235" s="46" t="s">
        <v>49</v>
      </c>
      <c r="E235" s="56">
        <f>(2.04+0.51*6)/100</f>
        <v>0.051</v>
      </c>
      <c r="F235" s="56">
        <f>F233*E235</f>
        <v>2.05275</v>
      </c>
      <c r="G235" s="30"/>
      <c r="H235" s="22"/>
      <c r="I235" s="61"/>
      <c r="J235" s="40"/>
      <c r="K235" s="30"/>
      <c r="L235" s="40"/>
      <c r="M235" s="200"/>
      <c r="N235" s="22"/>
    </row>
    <row r="236" spans="1:14" s="53" customFormat="1" ht="15.75" customHeight="1">
      <c r="A236" s="48"/>
      <c r="B236" s="2"/>
      <c r="C236" s="32" t="s">
        <v>89</v>
      </c>
      <c r="D236" s="46" t="s">
        <v>49</v>
      </c>
      <c r="E236" s="20">
        <v>1.21</v>
      </c>
      <c r="F236" s="54">
        <f>E236*F235</f>
        <v>2.4838275</v>
      </c>
      <c r="G236" s="30">
        <f>45/1.18</f>
        <v>38.13559322033898</v>
      </c>
      <c r="H236" s="22">
        <f>G236*F236</f>
        <v>94.72223516949151</v>
      </c>
      <c r="I236" s="61"/>
      <c r="J236" s="40">
        <f>I236*F236</f>
        <v>0</v>
      </c>
      <c r="K236" s="30">
        <f>G236*0.03</f>
        <v>1.1440677966101693</v>
      </c>
      <c r="L236" s="40">
        <f>K236*F236</f>
        <v>2.8416670550847454</v>
      </c>
      <c r="M236" s="200">
        <f>G236+I236+K236</f>
        <v>39.27966101694915</v>
      </c>
      <c r="N236" s="22">
        <f>L236+J236+H236</f>
        <v>97.56390222457625</v>
      </c>
    </row>
    <row r="237" spans="1:14" s="53" customFormat="1" ht="15.75" customHeight="1">
      <c r="A237" s="48"/>
      <c r="B237" s="2"/>
      <c r="C237" s="32" t="s">
        <v>90</v>
      </c>
      <c r="D237" s="46" t="s">
        <v>6</v>
      </c>
      <c r="E237" s="20">
        <v>0.304</v>
      </c>
      <c r="F237" s="54">
        <f>E237*F235</f>
        <v>0.624036</v>
      </c>
      <c r="G237" s="30">
        <f>10.5*20/1.18</f>
        <v>177.96610169491527</v>
      </c>
      <c r="H237" s="22">
        <f>G237*F237</f>
        <v>111.05725423728815</v>
      </c>
      <c r="I237" s="61"/>
      <c r="J237" s="40">
        <f>I237*F237</f>
        <v>0</v>
      </c>
      <c r="K237" s="30">
        <f>G237*0.03</f>
        <v>5.338983050847458</v>
      </c>
      <c r="L237" s="40">
        <f>K237*F237</f>
        <v>3.3317176271186444</v>
      </c>
      <c r="M237" s="200">
        <f>G237+I237+K237</f>
        <v>183.3050847457627</v>
      </c>
      <c r="N237" s="22">
        <f>L237+J237+H237</f>
        <v>114.3889718644068</v>
      </c>
    </row>
    <row r="238" spans="1:14" s="53" customFormat="1" ht="15.75" customHeight="1">
      <c r="A238" s="48"/>
      <c r="B238" s="10"/>
      <c r="C238" s="31" t="s">
        <v>174</v>
      </c>
      <c r="D238" s="31" t="s">
        <v>192</v>
      </c>
      <c r="E238" s="24">
        <v>1.15</v>
      </c>
      <c r="F238" s="56">
        <f>E238*F233</f>
        <v>46.287499999999994</v>
      </c>
      <c r="G238" s="30">
        <f>65/1.18</f>
        <v>55.08474576271187</v>
      </c>
      <c r="H238" s="22">
        <f>G238*F238</f>
        <v>2549.735169491525</v>
      </c>
      <c r="I238" s="61"/>
      <c r="J238" s="40">
        <f>I238*F238</f>
        <v>0</v>
      </c>
      <c r="K238" s="30">
        <f>G238*0.03</f>
        <v>1.652542372881356</v>
      </c>
      <c r="L238" s="40">
        <f>K238*F238</f>
        <v>76.49205508474576</v>
      </c>
      <c r="M238" s="200">
        <f>G238+I238+K238</f>
        <v>56.737288135593225</v>
      </c>
      <c r="N238" s="22">
        <f>L238+J238+H238</f>
        <v>2626.227224576271</v>
      </c>
    </row>
    <row r="239" spans="1:14" s="53" customFormat="1" ht="33" customHeight="1">
      <c r="A239" s="59">
        <f>A233+1</f>
        <v>41</v>
      </c>
      <c r="B239" s="80" t="s">
        <v>16</v>
      </c>
      <c r="C239" s="14" t="s">
        <v>199</v>
      </c>
      <c r="D239" s="14" t="s">
        <v>153</v>
      </c>
      <c r="E239" s="36"/>
      <c r="F239" s="199">
        <v>231</v>
      </c>
      <c r="G239" s="30"/>
      <c r="H239" s="22"/>
      <c r="I239" s="61"/>
      <c r="J239" s="40"/>
      <c r="K239" s="30"/>
      <c r="L239" s="40"/>
      <c r="M239" s="206"/>
      <c r="N239" s="61"/>
    </row>
    <row r="240" spans="1:14" s="53" customFormat="1" ht="15.75" customHeight="1">
      <c r="A240" s="48"/>
      <c r="B240" s="9"/>
      <c r="C240" s="31" t="s">
        <v>12</v>
      </c>
      <c r="D240" s="31" t="s">
        <v>192</v>
      </c>
      <c r="E240" s="24">
        <v>1</v>
      </c>
      <c r="F240" s="56">
        <f>F239*E240</f>
        <v>231</v>
      </c>
      <c r="G240" s="30">
        <v>0</v>
      </c>
      <c r="H240" s="22">
        <f>G240*F240</f>
        <v>0</v>
      </c>
      <c r="I240" s="61">
        <f>25*1.25</f>
        <v>31.25</v>
      </c>
      <c r="J240" s="40">
        <f>I240*F240</f>
        <v>7218.75</v>
      </c>
      <c r="K240" s="30">
        <f>G240*0.03</f>
        <v>0</v>
      </c>
      <c r="L240" s="40">
        <f>K240*F240</f>
        <v>0</v>
      </c>
      <c r="M240" s="200">
        <f>G240+I240+K240</f>
        <v>31.25</v>
      </c>
      <c r="N240" s="22">
        <f>L240+J240+H240</f>
        <v>7218.75</v>
      </c>
    </row>
    <row r="241" spans="1:14" s="53" customFormat="1" ht="15.75" customHeight="1">
      <c r="A241" s="48"/>
      <c r="B241" s="2"/>
      <c r="C241" s="32" t="s">
        <v>91</v>
      </c>
      <c r="D241" s="46" t="s">
        <v>49</v>
      </c>
      <c r="E241" s="56">
        <f>(2.04+0.51*6)/100</f>
        <v>0.051</v>
      </c>
      <c r="F241" s="56">
        <f>F239*E241</f>
        <v>11.780999999999999</v>
      </c>
      <c r="G241" s="30"/>
      <c r="H241" s="22"/>
      <c r="I241" s="61"/>
      <c r="J241" s="40"/>
      <c r="K241" s="30"/>
      <c r="L241" s="40"/>
      <c r="M241" s="200"/>
      <c r="N241" s="22"/>
    </row>
    <row r="242" spans="1:14" s="53" customFormat="1" ht="15.75" customHeight="1">
      <c r="A242" s="48"/>
      <c r="B242" s="2"/>
      <c r="C242" s="32" t="s">
        <v>89</v>
      </c>
      <c r="D242" s="46" t="s">
        <v>49</v>
      </c>
      <c r="E242" s="20">
        <v>1.21</v>
      </c>
      <c r="F242" s="54">
        <f>E242*F241</f>
        <v>14.255009999999999</v>
      </c>
      <c r="G242" s="30">
        <f>45/1.18</f>
        <v>38.13559322033898</v>
      </c>
      <c r="H242" s="22">
        <f>G242*F242</f>
        <v>543.6232627118643</v>
      </c>
      <c r="I242" s="61"/>
      <c r="J242" s="40">
        <f>I242*F242</f>
        <v>0</v>
      </c>
      <c r="K242" s="30">
        <f>G242*0.03</f>
        <v>1.1440677966101693</v>
      </c>
      <c r="L242" s="40">
        <f>K242*F242</f>
        <v>16.30869788135593</v>
      </c>
      <c r="M242" s="200">
        <f>G242+I242+K242</f>
        <v>39.27966101694915</v>
      </c>
      <c r="N242" s="22">
        <f>L242+J242+H242</f>
        <v>559.9319605932202</v>
      </c>
    </row>
    <row r="243" spans="1:14" s="53" customFormat="1" ht="15.75" customHeight="1">
      <c r="A243" s="48"/>
      <c r="B243" s="2"/>
      <c r="C243" s="32" t="s">
        <v>90</v>
      </c>
      <c r="D243" s="46" t="s">
        <v>6</v>
      </c>
      <c r="E243" s="20">
        <v>0.304</v>
      </c>
      <c r="F243" s="54">
        <f>E243*F241</f>
        <v>3.5814239999999997</v>
      </c>
      <c r="G243" s="30">
        <f>10.5*20/1.18</f>
        <v>177.96610169491527</v>
      </c>
      <c r="H243" s="22">
        <f>G243*F243</f>
        <v>637.3720677966102</v>
      </c>
      <c r="I243" s="61"/>
      <c r="J243" s="40">
        <f>I243*F243</f>
        <v>0</v>
      </c>
      <c r="K243" s="30">
        <f>G243*0.03</f>
        <v>5.338983050847458</v>
      </c>
      <c r="L243" s="40">
        <f>K243*F243</f>
        <v>19.121162033898305</v>
      </c>
      <c r="M243" s="200">
        <f>G243+I243+K243</f>
        <v>183.3050847457627</v>
      </c>
      <c r="N243" s="22">
        <f>L243+J243+H243</f>
        <v>656.4932298305084</v>
      </c>
    </row>
    <row r="244" spans="1:14" s="53" customFormat="1" ht="15.75" customHeight="1">
      <c r="A244" s="48"/>
      <c r="B244" s="10"/>
      <c r="C244" s="31" t="s">
        <v>174</v>
      </c>
      <c r="D244" s="31" t="s">
        <v>192</v>
      </c>
      <c r="E244" s="24">
        <v>1.15</v>
      </c>
      <c r="F244" s="56">
        <f>E244*F239</f>
        <v>265.65</v>
      </c>
      <c r="G244" s="30">
        <v>25</v>
      </c>
      <c r="H244" s="22">
        <f>G244*F244</f>
        <v>6641.249999999999</v>
      </c>
      <c r="I244" s="61"/>
      <c r="J244" s="40">
        <f>I244*F244</f>
        <v>0</v>
      </c>
      <c r="K244" s="30">
        <f>G244*0.03</f>
        <v>0.75</v>
      </c>
      <c r="L244" s="40">
        <f>K244*F244</f>
        <v>199.23749999999998</v>
      </c>
      <c r="M244" s="200">
        <f>G244+I244+K244</f>
        <v>25.75</v>
      </c>
      <c r="N244" s="22">
        <f>L244+J244+H244</f>
        <v>6840.487499999999</v>
      </c>
    </row>
    <row r="245" spans="1:14" s="53" customFormat="1" ht="31.5">
      <c r="A245" s="59">
        <f>A239+1</f>
        <v>42</v>
      </c>
      <c r="B245" s="80" t="s">
        <v>172</v>
      </c>
      <c r="C245" s="14" t="s">
        <v>214</v>
      </c>
      <c r="D245" s="14" t="s">
        <v>153</v>
      </c>
      <c r="E245" s="36"/>
      <c r="F245" s="199">
        <v>42</v>
      </c>
      <c r="G245" s="30"/>
      <c r="H245" s="22"/>
      <c r="I245" s="61"/>
      <c r="J245" s="40"/>
      <c r="K245" s="30"/>
      <c r="L245" s="40"/>
      <c r="M245" s="206"/>
      <c r="N245" s="61"/>
    </row>
    <row r="246" spans="1:14" s="53" customFormat="1" ht="15.75" customHeight="1">
      <c r="A246" s="48"/>
      <c r="B246" s="9"/>
      <c r="C246" s="31" t="s">
        <v>12</v>
      </c>
      <c r="D246" s="31" t="s">
        <v>192</v>
      </c>
      <c r="E246" s="24">
        <v>1</v>
      </c>
      <c r="F246" s="56">
        <f>F245*E246</f>
        <v>42</v>
      </c>
      <c r="G246" s="30">
        <v>0</v>
      </c>
      <c r="H246" s="22">
        <f>G246*F246</f>
        <v>0</v>
      </c>
      <c r="I246" s="61">
        <v>15</v>
      </c>
      <c r="J246" s="40">
        <f>I246*F246</f>
        <v>630</v>
      </c>
      <c r="K246" s="30">
        <f>G246*0.03</f>
        <v>0</v>
      </c>
      <c r="L246" s="40">
        <f>K246*F246</f>
        <v>0</v>
      </c>
      <c r="M246" s="200">
        <f>G246+I246+K246</f>
        <v>15</v>
      </c>
      <c r="N246" s="22">
        <f>L246+J246+H246</f>
        <v>630</v>
      </c>
    </row>
    <row r="247" spans="1:14" s="53" customFormat="1" ht="15.75" customHeight="1">
      <c r="A247" s="48"/>
      <c r="B247" s="2"/>
      <c r="C247" s="31" t="s">
        <v>219</v>
      </c>
      <c r="D247" s="31" t="s">
        <v>192</v>
      </c>
      <c r="E247" s="24">
        <v>1.05</v>
      </c>
      <c r="F247" s="56">
        <f>F245*E247</f>
        <v>44.1</v>
      </c>
      <c r="G247" s="30">
        <f>40*1.75/1.18</f>
        <v>59.32203389830509</v>
      </c>
      <c r="H247" s="22">
        <f>G247*F247</f>
        <v>2616.1016949152545</v>
      </c>
      <c r="I247" s="61"/>
      <c r="J247" s="40">
        <f>I247*F247</f>
        <v>0</v>
      </c>
      <c r="K247" s="30">
        <f>G247*0.03</f>
        <v>1.7796610169491525</v>
      </c>
      <c r="L247" s="40">
        <f>K247*F247</f>
        <v>78.48305084745762</v>
      </c>
      <c r="M247" s="200">
        <f>G247+I247+K247</f>
        <v>61.10169491525424</v>
      </c>
      <c r="N247" s="22">
        <f>L247+J247+H247</f>
        <v>2694.584745762712</v>
      </c>
    </row>
    <row r="248" spans="1:14" s="16" customFormat="1" ht="33" customHeight="1">
      <c r="A248" s="59">
        <f>A245+1</f>
        <v>43</v>
      </c>
      <c r="B248" s="80" t="s">
        <v>21</v>
      </c>
      <c r="C248" s="14" t="s">
        <v>95</v>
      </c>
      <c r="D248" s="14" t="s">
        <v>153</v>
      </c>
      <c r="E248" s="30"/>
      <c r="F248" s="199">
        <f>(15.24+4.82+4.8+9.94+4.9+5+11.1+11.12+24)*2.8</f>
        <v>254.576</v>
      </c>
      <c r="G248" s="36"/>
      <c r="H248" s="36"/>
      <c r="I248" s="36"/>
      <c r="J248" s="49"/>
      <c r="K248" s="36"/>
      <c r="L248" s="49"/>
      <c r="M248" s="212"/>
      <c r="N248" s="22"/>
    </row>
    <row r="249" spans="1:16" s="39" customFormat="1" ht="15" customHeight="1">
      <c r="A249" s="116"/>
      <c r="B249" s="10"/>
      <c r="C249" s="43" t="s">
        <v>12</v>
      </c>
      <c r="D249" s="32" t="s">
        <v>192</v>
      </c>
      <c r="E249" s="51">
        <f>1</f>
        <v>1</v>
      </c>
      <c r="F249" s="54">
        <f>F248*E249</f>
        <v>254.576</v>
      </c>
      <c r="G249" s="30">
        <v>0</v>
      </c>
      <c r="H249" s="22">
        <f>G249*F249</f>
        <v>0</v>
      </c>
      <c r="I249" s="61">
        <v>15</v>
      </c>
      <c r="J249" s="40">
        <f>I249*F249</f>
        <v>3818.64</v>
      </c>
      <c r="K249" s="30">
        <f>G249*0.03</f>
        <v>0</v>
      </c>
      <c r="L249" s="40">
        <f>K249*F249</f>
        <v>0</v>
      </c>
      <c r="M249" s="200">
        <f>G249+I249+K249</f>
        <v>15</v>
      </c>
      <c r="N249" s="22">
        <f>L249+J249+H249</f>
        <v>3818.64</v>
      </c>
      <c r="O249" s="19"/>
      <c r="P249" s="19"/>
    </row>
    <row r="250" spans="1:14" s="19" customFormat="1" ht="15" customHeight="1">
      <c r="A250" s="116"/>
      <c r="B250" s="2"/>
      <c r="C250" s="31" t="s">
        <v>31</v>
      </c>
      <c r="D250" s="32" t="s">
        <v>81</v>
      </c>
      <c r="E250" s="24">
        <v>5</v>
      </c>
      <c r="F250" s="54">
        <f>F248*E250</f>
        <v>1272.8799999999999</v>
      </c>
      <c r="G250" s="30">
        <f>10/25/1.18</f>
        <v>0.33898305084745767</v>
      </c>
      <c r="H250" s="22">
        <f>G250*F250</f>
        <v>431.4847457627119</v>
      </c>
      <c r="I250" s="61"/>
      <c r="J250" s="40">
        <f>I250*F250</f>
        <v>0</v>
      </c>
      <c r="K250" s="30">
        <f>G250*0.03</f>
        <v>0.01016949152542373</v>
      </c>
      <c r="L250" s="40">
        <f>K250*F250</f>
        <v>12.944542372881356</v>
      </c>
      <c r="M250" s="200">
        <f>G250+I250+K250</f>
        <v>0.3491525423728814</v>
      </c>
      <c r="N250" s="22">
        <f>L250+J250+H250</f>
        <v>444.42928813559325</v>
      </c>
    </row>
    <row r="251" spans="1:14" s="19" customFormat="1" ht="18">
      <c r="A251" s="116"/>
      <c r="B251" s="10"/>
      <c r="C251" s="31" t="s">
        <v>26</v>
      </c>
      <c r="D251" s="31" t="s">
        <v>192</v>
      </c>
      <c r="E251" s="24">
        <v>1.07</v>
      </c>
      <c r="F251" s="54">
        <f>F248*E251</f>
        <v>272.39632</v>
      </c>
      <c r="G251" s="30">
        <f>18/1.18</f>
        <v>15.254237288135593</v>
      </c>
      <c r="H251" s="22">
        <f>G251*F251</f>
        <v>4155.198101694916</v>
      </c>
      <c r="I251" s="61"/>
      <c r="J251" s="40">
        <f>I251*F251</f>
        <v>0</v>
      </c>
      <c r="K251" s="30">
        <f>G251*0.03</f>
        <v>0.4576271186440678</v>
      </c>
      <c r="L251" s="40">
        <f>K251*F251</f>
        <v>124.65594305084745</v>
      </c>
      <c r="M251" s="200">
        <f>G251+I251+K251</f>
        <v>15.711864406779661</v>
      </c>
      <c r="N251" s="22">
        <f>L251+J251+H251</f>
        <v>4279.8540447457635</v>
      </c>
    </row>
    <row r="252" spans="1:14" s="19" customFormat="1" ht="15" customHeight="1">
      <c r="A252" s="116"/>
      <c r="B252" s="10"/>
      <c r="C252" s="31" t="s">
        <v>27</v>
      </c>
      <c r="D252" s="31" t="s">
        <v>5</v>
      </c>
      <c r="E252" s="24">
        <v>0.5</v>
      </c>
      <c r="F252" s="54">
        <f>F248*E252</f>
        <v>127.288</v>
      </c>
      <c r="G252" s="30">
        <f>3.6/1.18</f>
        <v>3.050847457627119</v>
      </c>
      <c r="H252" s="22">
        <f>G252*F252</f>
        <v>388.3362711864407</v>
      </c>
      <c r="I252" s="61"/>
      <c r="J252" s="40">
        <f>I252*F252</f>
        <v>0</v>
      </c>
      <c r="K252" s="30">
        <f>G252*0.03</f>
        <v>0.09152542372881356</v>
      </c>
      <c r="L252" s="40">
        <f>K252*F252</f>
        <v>11.65008813559322</v>
      </c>
      <c r="M252" s="200">
        <f>G252+I252+K252</f>
        <v>3.1423728813559326</v>
      </c>
      <c r="N252" s="22">
        <f>L252+J252+H252</f>
        <v>399.9863593220339</v>
      </c>
    </row>
    <row r="253" spans="1:14" s="16" customFormat="1" ht="33" customHeight="1">
      <c r="A253" s="59">
        <f>A248+1</f>
        <v>44</v>
      </c>
      <c r="B253" s="80" t="s">
        <v>17</v>
      </c>
      <c r="C253" s="14" t="s">
        <v>200</v>
      </c>
      <c r="D253" s="14" t="s">
        <v>153</v>
      </c>
      <c r="E253" s="30"/>
      <c r="F253" s="199">
        <f>(67.83+16+14.45+11.84+15.4+14.4+30.9)*3.4+20*3.2</f>
        <v>644.788</v>
      </c>
      <c r="G253" s="36"/>
      <c r="H253" s="36"/>
      <c r="I253" s="36"/>
      <c r="J253" s="49"/>
      <c r="K253" s="36"/>
      <c r="L253" s="49"/>
      <c r="M253" s="212"/>
      <c r="N253" s="22"/>
    </row>
    <row r="254" spans="1:16" s="39" customFormat="1" ht="15" customHeight="1">
      <c r="A254" s="116"/>
      <c r="B254" s="10"/>
      <c r="C254" s="43" t="s">
        <v>12</v>
      </c>
      <c r="D254" s="32" t="s">
        <v>192</v>
      </c>
      <c r="E254" s="51">
        <f>1</f>
        <v>1</v>
      </c>
      <c r="F254" s="54">
        <f>F253*E254</f>
        <v>644.788</v>
      </c>
      <c r="G254" s="30">
        <v>0</v>
      </c>
      <c r="H254" s="22">
        <f aca="true" t="shared" si="52" ref="H254:H259">G254*F254</f>
        <v>0</v>
      </c>
      <c r="I254" s="12">
        <f>6*1.25</f>
        <v>7.5</v>
      </c>
      <c r="J254" s="40">
        <f aca="true" t="shared" si="53" ref="J254:J259">I254*F254</f>
        <v>4835.91</v>
      </c>
      <c r="K254" s="30">
        <f aca="true" t="shared" si="54" ref="K254:K259">G254*0.03</f>
        <v>0</v>
      </c>
      <c r="L254" s="40">
        <f aca="true" t="shared" si="55" ref="L254:L259">K254*F254</f>
        <v>0</v>
      </c>
      <c r="M254" s="200">
        <f aca="true" t="shared" si="56" ref="M254:M259">G254+I254+K254</f>
        <v>7.5</v>
      </c>
      <c r="N254" s="22">
        <f aca="true" t="shared" si="57" ref="N254:N259">L254+J254+H254</f>
        <v>4835.91</v>
      </c>
      <c r="O254" s="19"/>
      <c r="P254" s="19"/>
    </row>
    <row r="255" spans="1:14" s="19" customFormat="1" ht="15" customHeight="1">
      <c r="A255" s="116"/>
      <c r="B255" s="10"/>
      <c r="C255" s="31" t="s">
        <v>98</v>
      </c>
      <c r="D255" s="32" t="s">
        <v>192</v>
      </c>
      <c r="E255" s="24">
        <v>1.1</v>
      </c>
      <c r="F255" s="54">
        <f>F253*E255</f>
        <v>709.2668000000001</v>
      </c>
      <c r="G255" s="30">
        <f>15/10/1.18</f>
        <v>1.2711864406779663</v>
      </c>
      <c r="H255" s="22">
        <f t="shared" si="52"/>
        <v>901.6103389830511</v>
      </c>
      <c r="I255" s="61"/>
      <c r="J255" s="40">
        <f t="shared" si="53"/>
        <v>0</v>
      </c>
      <c r="K255" s="30">
        <f t="shared" si="54"/>
        <v>0.038135593220338986</v>
      </c>
      <c r="L255" s="40">
        <f t="shared" si="55"/>
        <v>27.048310169491533</v>
      </c>
      <c r="M255" s="200">
        <f t="shared" si="56"/>
        <v>1.3093220338983051</v>
      </c>
      <c r="N255" s="22">
        <f t="shared" si="57"/>
        <v>928.6586491525426</v>
      </c>
    </row>
    <row r="256" spans="1:14" s="19" customFormat="1" ht="15" customHeight="1">
      <c r="A256" s="116"/>
      <c r="B256" s="10"/>
      <c r="C256" s="31" t="s">
        <v>19</v>
      </c>
      <c r="D256" s="32" t="s">
        <v>81</v>
      </c>
      <c r="E256" s="24">
        <v>0.63</v>
      </c>
      <c r="F256" s="54">
        <f>F253*E256</f>
        <v>406.21644000000003</v>
      </c>
      <c r="G256" s="30">
        <f>105/25/1.18</f>
        <v>3.5593220338983054</v>
      </c>
      <c r="H256" s="22">
        <f t="shared" si="52"/>
        <v>1445.855125423729</v>
      </c>
      <c r="I256" s="61"/>
      <c r="J256" s="40">
        <f t="shared" si="53"/>
        <v>0</v>
      </c>
      <c r="K256" s="30">
        <f t="shared" si="54"/>
        <v>0.10677966101694916</v>
      </c>
      <c r="L256" s="40">
        <f t="shared" si="55"/>
        <v>43.37565376271187</v>
      </c>
      <c r="M256" s="200">
        <f t="shared" si="56"/>
        <v>3.6661016949152545</v>
      </c>
      <c r="N256" s="22">
        <f t="shared" si="57"/>
        <v>1489.230779186441</v>
      </c>
    </row>
    <row r="257" spans="1:14" s="19" customFormat="1" ht="15" customHeight="1">
      <c r="A257" s="116"/>
      <c r="B257" s="10"/>
      <c r="C257" s="31" t="s">
        <v>20</v>
      </c>
      <c r="D257" s="32" t="s">
        <v>81</v>
      </c>
      <c r="E257" s="24">
        <v>0.79</v>
      </c>
      <c r="F257" s="54">
        <f>F253*E257</f>
        <v>509.38252000000006</v>
      </c>
      <c r="G257" s="30">
        <f>14.5/30/1.18</f>
        <v>0.4096045197740113</v>
      </c>
      <c r="H257" s="22">
        <f t="shared" si="52"/>
        <v>208.64538248587573</v>
      </c>
      <c r="I257" s="61"/>
      <c r="J257" s="40">
        <f t="shared" si="53"/>
        <v>0</v>
      </c>
      <c r="K257" s="30">
        <f t="shared" si="54"/>
        <v>0.012288135593220338</v>
      </c>
      <c r="L257" s="40">
        <f t="shared" si="55"/>
        <v>6.259361474576271</v>
      </c>
      <c r="M257" s="200">
        <f t="shared" si="56"/>
        <v>0.42189265536723164</v>
      </c>
      <c r="N257" s="22">
        <f t="shared" si="57"/>
        <v>214.904743960452</v>
      </c>
    </row>
    <row r="258" spans="1:14" s="19" customFormat="1" ht="15" customHeight="1">
      <c r="A258" s="116"/>
      <c r="B258" s="10"/>
      <c r="C258" s="31" t="s">
        <v>99</v>
      </c>
      <c r="D258" s="31" t="s">
        <v>5</v>
      </c>
      <c r="E258" s="24"/>
      <c r="F258" s="54">
        <v>120</v>
      </c>
      <c r="G258" s="24">
        <f>0.85/1.18/3</f>
        <v>0.24011299435028247</v>
      </c>
      <c r="H258" s="22">
        <f t="shared" si="52"/>
        <v>28.813559322033896</v>
      </c>
      <c r="I258" s="61"/>
      <c r="J258" s="40">
        <f t="shared" si="53"/>
        <v>0</v>
      </c>
      <c r="K258" s="30">
        <f t="shared" si="54"/>
        <v>0.007203389830508474</v>
      </c>
      <c r="L258" s="40">
        <f t="shared" si="55"/>
        <v>0.8644067796610169</v>
      </c>
      <c r="M258" s="200">
        <f t="shared" si="56"/>
        <v>0.24731638418079094</v>
      </c>
      <c r="N258" s="22">
        <f t="shared" si="57"/>
        <v>29.677966101694913</v>
      </c>
    </row>
    <row r="259" spans="1:14" s="19" customFormat="1" ht="15" customHeight="1">
      <c r="A259" s="116"/>
      <c r="B259" s="10"/>
      <c r="C259" s="31" t="s">
        <v>100</v>
      </c>
      <c r="D259" s="20" t="s">
        <v>10</v>
      </c>
      <c r="E259" s="24"/>
      <c r="F259" s="54">
        <v>36</v>
      </c>
      <c r="G259" s="24">
        <f>5/1.18</f>
        <v>4.237288135593221</v>
      </c>
      <c r="H259" s="22">
        <f t="shared" si="52"/>
        <v>152.54237288135593</v>
      </c>
      <c r="I259" s="61"/>
      <c r="J259" s="40">
        <f t="shared" si="53"/>
        <v>0</v>
      </c>
      <c r="K259" s="30">
        <f t="shared" si="54"/>
        <v>0.1271186440677966</v>
      </c>
      <c r="L259" s="40">
        <f t="shared" si="55"/>
        <v>4.576271186440678</v>
      </c>
      <c r="M259" s="200">
        <f t="shared" si="56"/>
        <v>4.364406779661017</v>
      </c>
      <c r="N259" s="22">
        <f t="shared" si="57"/>
        <v>157.1186440677966</v>
      </c>
    </row>
    <row r="260" spans="1:14" s="50" customFormat="1" ht="21" customHeight="1">
      <c r="A260" s="59">
        <f>A253+1</f>
        <v>45</v>
      </c>
      <c r="B260" s="80" t="s">
        <v>94</v>
      </c>
      <c r="C260" s="11" t="s">
        <v>201</v>
      </c>
      <c r="D260" s="42" t="s">
        <v>153</v>
      </c>
      <c r="E260" s="44"/>
      <c r="F260" s="199">
        <v>86</v>
      </c>
      <c r="G260" s="49"/>
      <c r="H260" s="49"/>
      <c r="I260" s="49"/>
      <c r="J260" s="44"/>
      <c r="K260" s="11"/>
      <c r="L260" s="11"/>
      <c r="M260" s="214"/>
      <c r="N260" s="11"/>
    </row>
    <row r="261" spans="1:14" s="52" customFormat="1" ht="15.75" customHeight="1">
      <c r="A261" s="48"/>
      <c r="B261" s="9"/>
      <c r="C261" s="32" t="s">
        <v>12</v>
      </c>
      <c r="D261" s="32" t="s">
        <v>192</v>
      </c>
      <c r="E261" s="24">
        <v>1</v>
      </c>
      <c r="F261" s="56">
        <f>F260*E261</f>
        <v>86</v>
      </c>
      <c r="G261" s="30">
        <v>0</v>
      </c>
      <c r="H261" s="22">
        <f>G261*F261</f>
        <v>0</v>
      </c>
      <c r="I261" s="45">
        <f>6.25</f>
        <v>6.25</v>
      </c>
      <c r="J261" s="40">
        <f>I261*F261</f>
        <v>537.5</v>
      </c>
      <c r="K261" s="30">
        <f>G261*0.03</f>
        <v>0</v>
      </c>
      <c r="L261" s="40">
        <f>K261*F261</f>
        <v>0</v>
      </c>
      <c r="M261" s="200">
        <f>G261+I261+K261</f>
        <v>6.25</v>
      </c>
      <c r="N261" s="22">
        <f>L261+J261+H261</f>
        <v>537.5</v>
      </c>
    </row>
    <row r="262" spans="1:14" s="53" customFormat="1" ht="15.75" customHeight="1">
      <c r="A262" s="48"/>
      <c r="B262" s="2"/>
      <c r="C262" s="32" t="s">
        <v>64</v>
      </c>
      <c r="D262" s="32" t="s">
        <v>5</v>
      </c>
      <c r="E262" s="24">
        <v>3.2</v>
      </c>
      <c r="F262" s="56">
        <f>F260*E262</f>
        <v>275.2</v>
      </c>
      <c r="G262" s="30">
        <v>1.1</v>
      </c>
      <c r="H262" s="22">
        <f>G262*F262</f>
        <v>302.72</v>
      </c>
      <c r="I262" s="61"/>
      <c r="J262" s="40">
        <f>I262*F262</f>
        <v>0</v>
      </c>
      <c r="K262" s="30">
        <f>G262*0.03</f>
        <v>0.033</v>
      </c>
      <c r="L262" s="40">
        <f>K262*F262</f>
        <v>9.0816</v>
      </c>
      <c r="M262" s="200">
        <f>G262+I262+K262</f>
        <v>1.133</v>
      </c>
      <c r="N262" s="22">
        <f>L262+J262+H262</f>
        <v>311.8016</v>
      </c>
    </row>
    <row r="263" spans="1:14" s="53" customFormat="1" ht="15.75" customHeight="1">
      <c r="A263" s="48"/>
      <c r="B263" s="10"/>
      <c r="C263" s="32" t="s">
        <v>65</v>
      </c>
      <c r="D263" s="32" t="s">
        <v>81</v>
      </c>
      <c r="E263" s="24">
        <f>52.1/100</f>
        <v>0.521</v>
      </c>
      <c r="F263" s="54">
        <f>F260*E263</f>
        <v>44.806000000000004</v>
      </c>
      <c r="G263" s="30">
        <f>10/1.18</f>
        <v>8.474576271186441</v>
      </c>
      <c r="H263" s="22">
        <f>G263*F263</f>
        <v>379.71186440677974</v>
      </c>
      <c r="I263" s="61"/>
      <c r="J263" s="40">
        <f>I263*F263</f>
        <v>0</v>
      </c>
      <c r="K263" s="30">
        <f>G263*0.03</f>
        <v>0.2542372881355932</v>
      </c>
      <c r="L263" s="40">
        <f>K263*F263</f>
        <v>11.39135593220339</v>
      </c>
      <c r="M263" s="200">
        <f>G263+I263+K263</f>
        <v>8.728813559322035</v>
      </c>
      <c r="N263" s="22">
        <f>L263+J263+H263</f>
        <v>391.10322033898314</v>
      </c>
    </row>
    <row r="264" spans="1:14" s="53" customFormat="1" ht="15.75" customHeight="1">
      <c r="A264" s="48"/>
      <c r="B264" s="10"/>
      <c r="C264" s="32" t="s">
        <v>101</v>
      </c>
      <c r="D264" s="32" t="s">
        <v>192</v>
      </c>
      <c r="E264" s="24">
        <v>1.05</v>
      </c>
      <c r="F264" s="56">
        <f>E264*F260</f>
        <v>90.3</v>
      </c>
      <c r="G264" s="30">
        <f>16/1.18</f>
        <v>13.559322033898306</v>
      </c>
      <c r="H264" s="22">
        <f>G264*F264</f>
        <v>1224.406779661017</v>
      </c>
      <c r="I264" s="61"/>
      <c r="J264" s="40">
        <f>I264*F264</f>
        <v>0</v>
      </c>
      <c r="K264" s="30">
        <f>G264*0.03</f>
        <v>0.4067796610169492</v>
      </c>
      <c r="L264" s="40">
        <f>K264*F264</f>
        <v>36.73220338983051</v>
      </c>
      <c r="M264" s="200">
        <f>G264+I264+K264</f>
        <v>13.966101694915256</v>
      </c>
      <c r="N264" s="22">
        <f>L264+J264+H264</f>
        <v>1261.1389830508476</v>
      </c>
    </row>
    <row r="265" spans="1:16" s="39" customFormat="1" ht="33" customHeight="1">
      <c r="A265" s="59">
        <f>A260+1</f>
        <v>46</v>
      </c>
      <c r="B265" s="80" t="s">
        <v>203</v>
      </c>
      <c r="C265" s="42" t="s">
        <v>204</v>
      </c>
      <c r="D265" s="42" t="s">
        <v>153</v>
      </c>
      <c r="E265" s="42"/>
      <c r="F265" s="199">
        <f>182-F270</f>
        <v>122</v>
      </c>
      <c r="G265" s="49"/>
      <c r="H265" s="49"/>
      <c r="I265" s="49"/>
      <c r="J265" s="44"/>
      <c r="K265" s="11"/>
      <c r="L265" s="11"/>
      <c r="M265" s="214"/>
      <c r="N265" s="11"/>
      <c r="O265" s="19"/>
      <c r="P265" s="19"/>
    </row>
    <row r="266" spans="1:16" s="39" customFormat="1" ht="17.25" customHeight="1">
      <c r="A266" s="116"/>
      <c r="B266" s="10"/>
      <c r="C266" s="43" t="s">
        <v>12</v>
      </c>
      <c r="D266" s="32" t="s">
        <v>192</v>
      </c>
      <c r="E266" s="68">
        <v>1</v>
      </c>
      <c r="F266" s="56">
        <f>F265*E266</f>
        <v>122</v>
      </c>
      <c r="G266" s="30">
        <v>0</v>
      </c>
      <c r="H266" s="22">
        <f>G266*F266</f>
        <v>0</v>
      </c>
      <c r="I266" s="12">
        <v>6.5</v>
      </c>
      <c r="J266" s="40">
        <f>I266*F266</f>
        <v>793</v>
      </c>
      <c r="K266" s="30">
        <f>G266*0.03</f>
        <v>0</v>
      </c>
      <c r="L266" s="40">
        <f>K266*F266</f>
        <v>0</v>
      </c>
      <c r="M266" s="200">
        <f>G266+I266+K266</f>
        <v>6.5</v>
      </c>
      <c r="N266" s="22">
        <f>L266+J266+H266</f>
        <v>793</v>
      </c>
      <c r="O266" s="19"/>
      <c r="P266" s="19"/>
    </row>
    <row r="267" spans="1:16" s="39" customFormat="1" ht="17.25" customHeight="1">
      <c r="A267" s="116"/>
      <c r="B267" s="10"/>
      <c r="C267" s="43" t="s">
        <v>64</v>
      </c>
      <c r="D267" s="43" t="s">
        <v>192</v>
      </c>
      <c r="E267" s="68">
        <v>3.2</v>
      </c>
      <c r="F267" s="54">
        <f>E267*F265</f>
        <v>390.40000000000003</v>
      </c>
      <c r="G267" s="30">
        <v>1.4</v>
      </c>
      <c r="H267" s="22">
        <f>G267*F267</f>
        <v>546.5600000000001</v>
      </c>
      <c r="I267" s="61"/>
      <c r="J267" s="40">
        <f>I267*F267</f>
        <v>0</v>
      </c>
      <c r="K267" s="30">
        <f>G267*0.03</f>
        <v>0.041999999999999996</v>
      </c>
      <c r="L267" s="40">
        <f>K267*F267</f>
        <v>16.3968</v>
      </c>
      <c r="M267" s="200">
        <f>G267+I267+K267</f>
        <v>1.442</v>
      </c>
      <c r="N267" s="22">
        <f>L267+J267+H267</f>
        <v>562.9568</v>
      </c>
      <c r="O267" s="19"/>
      <c r="P267" s="19"/>
    </row>
    <row r="268" spans="1:16" s="39" customFormat="1" ht="17.25" customHeight="1">
      <c r="A268" s="116"/>
      <c r="B268" s="10"/>
      <c r="C268" s="43" t="s">
        <v>65</v>
      </c>
      <c r="D268" s="32" t="s">
        <v>81</v>
      </c>
      <c r="E268" s="69">
        <f>0.521/5</f>
        <v>0.1042</v>
      </c>
      <c r="F268" s="54">
        <f>F265*E268</f>
        <v>12.7124</v>
      </c>
      <c r="G268" s="30">
        <f>10/1.18</f>
        <v>8.474576271186441</v>
      </c>
      <c r="H268" s="22">
        <f>G268*F268</f>
        <v>107.73220338983052</v>
      </c>
      <c r="I268" s="61"/>
      <c r="J268" s="40">
        <f>I268*F268</f>
        <v>0</v>
      </c>
      <c r="K268" s="30">
        <f>G268*0.03</f>
        <v>0.2542372881355932</v>
      </c>
      <c r="L268" s="40">
        <f>K268*F268</f>
        <v>3.231966101694915</v>
      </c>
      <c r="M268" s="200">
        <f>G268+I268+K268</f>
        <v>8.728813559322035</v>
      </c>
      <c r="N268" s="22">
        <f>L268+J268+H268</f>
        <v>110.96416949152542</v>
      </c>
      <c r="O268" s="19"/>
      <c r="P268" s="19"/>
    </row>
    <row r="269" spans="1:16" s="39" customFormat="1" ht="17.25" customHeight="1">
      <c r="A269" s="116"/>
      <c r="B269" s="10"/>
      <c r="C269" s="43" t="s">
        <v>205</v>
      </c>
      <c r="D269" s="43" t="s">
        <v>192</v>
      </c>
      <c r="E269" s="51">
        <v>1.05</v>
      </c>
      <c r="F269" s="54">
        <f>F266*E269</f>
        <v>128.1</v>
      </c>
      <c r="G269" s="30">
        <f>14.5/3/1.18</f>
        <v>4.096045197740113</v>
      </c>
      <c r="H269" s="22">
        <f>G269*F269</f>
        <v>524.7033898305085</v>
      </c>
      <c r="I269" s="61"/>
      <c r="J269" s="40">
        <f>I269*F269</f>
        <v>0</v>
      </c>
      <c r="K269" s="30">
        <f>G269*0.03</f>
        <v>0.1228813559322034</v>
      </c>
      <c r="L269" s="40">
        <f>K269*F269</f>
        <v>15.741101694915255</v>
      </c>
      <c r="M269" s="200">
        <f>G269+I269+K269</f>
        <v>4.218926553672317</v>
      </c>
      <c r="N269" s="22">
        <f>L269+J269+H269</f>
        <v>540.4444915254238</v>
      </c>
      <c r="O269" s="19"/>
      <c r="P269" s="19"/>
    </row>
    <row r="270" spans="1:16" s="39" customFormat="1" ht="33" customHeight="1">
      <c r="A270" s="59">
        <f>A265+1</f>
        <v>47</v>
      </c>
      <c r="B270" s="80" t="s">
        <v>203</v>
      </c>
      <c r="C270" s="42" t="s">
        <v>67</v>
      </c>
      <c r="D270" s="42" t="s">
        <v>153</v>
      </c>
      <c r="E270" s="42"/>
      <c r="F270" s="199">
        <f>F213</f>
        <v>60</v>
      </c>
      <c r="G270" s="49"/>
      <c r="H270" s="49"/>
      <c r="I270" s="49"/>
      <c r="J270" s="44"/>
      <c r="K270" s="11"/>
      <c r="L270" s="11"/>
      <c r="M270" s="214"/>
      <c r="N270" s="11"/>
      <c r="O270" s="19"/>
      <c r="P270" s="19"/>
    </row>
    <row r="271" spans="1:16" s="39" customFormat="1" ht="17.25" customHeight="1">
      <c r="A271" s="116"/>
      <c r="B271" s="10"/>
      <c r="C271" s="43" t="s">
        <v>12</v>
      </c>
      <c r="D271" s="32" t="s">
        <v>192</v>
      </c>
      <c r="E271" s="68">
        <v>1</v>
      </c>
      <c r="F271" s="56">
        <f>F270*E271</f>
        <v>60</v>
      </c>
      <c r="G271" s="30">
        <v>0</v>
      </c>
      <c r="H271" s="22">
        <f>G271*F271</f>
        <v>0</v>
      </c>
      <c r="I271" s="12">
        <v>6.5</v>
      </c>
      <c r="J271" s="40">
        <f>I271*F271</f>
        <v>390</v>
      </c>
      <c r="K271" s="30">
        <f>G271*0.03</f>
        <v>0</v>
      </c>
      <c r="L271" s="40">
        <f>K271*F271</f>
        <v>0</v>
      </c>
      <c r="M271" s="200">
        <f>G271+I271+K271</f>
        <v>6.5</v>
      </c>
      <c r="N271" s="22">
        <f>L271+J271+H271</f>
        <v>390</v>
      </c>
      <c r="O271" s="19"/>
      <c r="P271" s="19"/>
    </row>
    <row r="272" spans="1:16" s="39" customFormat="1" ht="17.25" customHeight="1">
      <c r="A272" s="116"/>
      <c r="B272" s="10"/>
      <c r="C272" s="43" t="s">
        <v>64</v>
      </c>
      <c r="D272" s="43" t="s">
        <v>192</v>
      </c>
      <c r="E272" s="68">
        <v>3.2</v>
      </c>
      <c r="F272" s="54">
        <f>E272*F270</f>
        <v>192</v>
      </c>
      <c r="G272" s="30">
        <v>1.4</v>
      </c>
      <c r="H272" s="22">
        <f>G272*F272</f>
        <v>268.79999999999995</v>
      </c>
      <c r="I272" s="61"/>
      <c r="J272" s="40">
        <f>I272*F272</f>
        <v>0</v>
      </c>
      <c r="K272" s="30">
        <f>G272*0.03</f>
        <v>0.041999999999999996</v>
      </c>
      <c r="L272" s="40">
        <f>K272*F272</f>
        <v>8.064</v>
      </c>
      <c r="M272" s="200">
        <f>G272+I272+K272</f>
        <v>1.442</v>
      </c>
      <c r="N272" s="22">
        <f>L272+J272+H272</f>
        <v>276.864</v>
      </c>
      <c r="O272" s="19"/>
      <c r="P272" s="19"/>
    </row>
    <row r="273" spans="1:16" s="39" customFormat="1" ht="17.25" customHeight="1">
      <c r="A273" s="116"/>
      <c r="B273" s="10"/>
      <c r="C273" s="43" t="s">
        <v>65</v>
      </c>
      <c r="D273" s="32" t="s">
        <v>81</v>
      </c>
      <c r="E273" s="69">
        <f>0.521/5</f>
        <v>0.1042</v>
      </c>
      <c r="F273" s="54">
        <f>F270*E273</f>
        <v>6.252</v>
      </c>
      <c r="G273" s="30">
        <f>10/1.18</f>
        <v>8.474576271186441</v>
      </c>
      <c r="H273" s="22">
        <f>G273*F273</f>
        <v>52.983050847457626</v>
      </c>
      <c r="I273" s="61"/>
      <c r="J273" s="40">
        <f>I273*F273</f>
        <v>0</v>
      </c>
      <c r="K273" s="30">
        <f>G273*0.03</f>
        <v>0.2542372881355932</v>
      </c>
      <c r="L273" s="40">
        <f>K273*F273</f>
        <v>1.5894915254237287</v>
      </c>
      <c r="M273" s="200">
        <f>G273+I273+K273</f>
        <v>8.728813559322035</v>
      </c>
      <c r="N273" s="22">
        <f>L273+J273+H273</f>
        <v>54.57254237288136</v>
      </c>
      <c r="O273" s="19"/>
      <c r="P273" s="19"/>
    </row>
    <row r="274" spans="1:16" s="39" customFormat="1" ht="17.25" customHeight="1">
      <c r="A274" s="116"/>
      <c r="B274" s="10"/>
      <c r="C274" s="43" t="s">
        <v>66</v>
      </c>
      <c r="D274" s="43" t="s">
        <v>192</v>
      </c>
      <c r="E274" s="51">
        <v>1.05</v>
      </c>
      <c r="F274" s="54">
        <f>F271*E274</f>
        <v>63</v>
      </c>
      <c r="G274" s="30">
        <f>14.5/3/1.18</f>
        <v>4.096045197740113</v>
      </c>
      <c r="H274" s="22">
        <f>G274*F274</f>
        <v>258.0508474576271</v>
      </c>
      <c r="I274" s="61"/>
      <c r="J274" s="40">
        <f>I274*F274</f>
        <v>0</v>
      </c>
      <c r="K274" s="30">
        <f>G274*0.03</f>
        <v>0.1228813559322034</v>
      </c>
      <c r="L274" s="40">
        <f>K274*F274</f>
        <v>7.741525423728814</v>
      </c>
      <c r="M274" s="200">
        <f>G274+I274+K274</f>
        <v>4.218926553672317</v>
      </c>
      <c r="N274" s="22">
        <f>L274+J274+H274</f>
        <v>265.79237288135596</v>
      </c>
      <c r="O274" s="19"/>
      <c r="P274" s="19"/>
    </row>
    <row r="275" spans="1:14" s="16" customFormat="1" ht="33" customHeight="1">
      <c r="A275" s="59">
        <f>A270+1</f>
        <v>48</v>
      </c>
      <c r="B275" s="80" t="s">
        <v>22</v>
      </c>
      <c r="C275" s="14" t="s">
        <v>18</v>
      </c>
      <c r="D275" s="14" t="s">
        <v>153</v>
      </c>
      <c r="E275" s="30"/>
      <c r="F275" s="199">
        <f>F265+F270</f>
        <v>182</v>
      </c>
      <c r="G275" s="36"/>
      <c r="H275" s="36"/>
      <c r="I275" s="36"/>
      <c r="J275" s="49"/>
      <c r="K275" s="36"/>
      <c r="L275" s="49"/>
      <c r="M275" s="212"/>
      <c r="N275" s="22"/>
    </row>
    <row r="276" spans="1:16" s="39" customFormat="1" ht="18">
      <c r="A276" s="116"/>
      <c r="B276" s="10"/>
      <c r="C276" s="43" t="s">
        <v>12</v>
      </c>
      <c r="D276" s="32" t="s">
        <v>192</v>
      </c>
      <c r="E276" s="51">
        <f>1</f>
        <v>1</v>
      </c>
      <c r="F276" s="54">
        <f>F275*E276</f>
        <v>182</v>
      </c>
      <c r="G276" s="30">
        <v>0</v>
      </c>
      <c r="H276" s="22">
        <f>G276*F276</f>
        <v>0</v>
      </c>
      <c r="I276" s="12">
        <v>6.25</v>
      </c>
      <c r="J276" s="40">
        <f>I276*F276</f>
        <v>1137.5</v>
      </c>
      <c r="K276" s="30">
        <f>G276*0.03</f>
        <v>0</v>
      </c>
      <c r="L276" s="40">
        <f>K276*F276</f>
        <v>0</v>
      </c>
      <c r="M276" s="200">
        <f>G276+I276+K276</f>
        <v>6.25</v>
      </c>
      <c r="N276" s="22">
        <f>L276+J276+H276</f>
        <v>1137.5</v>
      </c>
      <c r="O276" s="19"/>
      <c r="P276" s="19"/>
    </row>
    <row r="277" spans="1:14" s="19" customFormat="1" ht="15.75">
      <c r="A277" s="116"/>
      <c r="B277" s="10"/>
      <c r="C277" s="31" t="s">
        <v>19</v>
      </c>
      <c r="D277" s="32" t="s">
        <v>81</v>
      </c>
      <c r="E277" s="24">
        <v>0.63</v>
      </c>
      <c r="F277" s="54">
        <f>F275*E277</f>
        <v>114.66</v>
      </c>
      <c r="G277" s="30">
        <f>105/25/1.18</f>
        <v>3.5593220338983054</v>
      </c>
      <c r="H277" s="22">
        <f>G277*F277</f>
        <v>408.11186440677966</v>
      </c>
      <c r="I277" s="61"/>
      <c r="J277" s="40">
        <f>I277*F277</f>
        <v>0</v>
      </c>
      <c r="K277" s="30">
        <f>G277*0.03</f>
        <v>0.10677966101694916</v>
      </c>
      <c r="L277" s="40">
        <f>K277*F277</f>
        <v>12.243355932203391</v>
      </c>
      <c r="M277" s="200">
        <f>G277+I277+K277</f>
        <v>3.6661016949152545</v>
      </c>
      <c r="N277" s="22">
        <f>L277+J277+H277</f>
        <v>420.35522033898303</v>
      </c>
    </row>
    <row r="278" spans="1:14" s="19" customFormat="1" ht="15.75">
      <c r="A278" s="116"/>
      <c r="B278" s="10"/>
      <c r="C278" s="31" t="s">
        <v>20</v>
      </c>
      <c r="D278" s="32" t="s">
        <v>81</v>
      </c>
      <c r="E278" s="24">
        <v>0.92</v>
      </c>
      <c r="F278" s="54">
        <f>F275*E278</f>
        <v>167.44</v>
      </c>
      <c r="G278" s="30">
        <f>14.5/30/1.18</f>
        <v>0.4096045197740113</v>
      </c>
      <c r="H278" s="22">
        <f>G278*F278</f>
        <v>68.58418079096045</v>
      </c>
      <c r="I278" s="61"/>
      <c r="J278" s="40">
        <f>I278*F278</f>
        <v>0</v>
      </c>
      <c r="K278" s="30">
        <f>G278*0.03</f>
        <v>0.012288135593220338</v>
      </c>
      <c r="L278" s="40">
        <f>K278*F278</f>
        <v>2.0575254237288134</v>
      </c>
      <c r="M278" s="200">
        <f>G278+I278+K278</f>
        <v>0.42189265536723164</v>
      </c>
      <c r="N278" s="22">
        <f>L278+J278+H278</f>
        <v>70.64170621468926</v>
      </c>
    </row>
    <row r="279" spans="1:14" s="19" customFormat="1" ht="15" customHeight="1">
      <c r="A279" s="116"/>
      <c r="B279" s="10"/>
      <c r="C279" s="31" t="s">
        <v>100</v>
      </c>
      <c r="D279" s="20" t="s">
        <v>10</v>
      </c>
      <c r="E279" s="24" t="s">
        <v>68</v>
      </c>
      <c r="F279" s="54">
        <v>5</v>
      </c>
      <c r="G279" s="24">
        <f>5/1.18</f>
        <v>4.237288135593221</v>
      </c>
      <c r="H279" s="22">
        <f>G279*F279</f>
        <v>21.186440677966104</v>
      </c>
      <c r="I279" s="61"/>
      <c r="J279" s="40">
        <f>I279*F279</f>
        <v>0</v>
      </c>
      <c r="K279" s="30">
        <f>G279*0.03</f>
        <v>0.1271186440677966</v>
      </c>
      <c r="L279" s="40">
        <f>K279*F279</f>
        <v>0.635593220338983</v>
      </c>
      <c r="M279" s="200">
        <f>G279+I279+K279</f>
        <v>4.364406779661017</v>
      </c>
      <c r="N279" s="22">
        <f>L279+J279+H279</f>
        <v>21.822033898305087</v>
      </c>
    </row>
    <row r="280" spans="1:16" s="104" customFormat="1" ht="18" customHeight="1">
      <c r="A280" s="133"/>
      <c r="B280" s="198"/>
      <c r="C280" s="191" t="s">
        <v>157</v>
      </c>
      <c r="D280" s="133"/>
      <c r="E280" s="192"/>
      <c r="F280" s="133"/>
      <c r="G280" s="133"/>
      <c r="H280" s="133"/>
      <c r="I280" s="193"/>
      <c r="J280" s="133"/>
      <c r="K280" s="193"/>
      <c r="L280" s="133"/>
      <c r="M280" s="216"/>
      <c r="N280" s="192"/>
      <c r="P280" s="105"/>
    </row>
    <row r="281" spans="1:14" s="16" customFormat="1" ht="31.5">
      <c r="A281" s="59">
        <f>A275+1</f>
        <v>49</v>
      </c>
      <c r="B281" s="80" t="s">
        <v>23</v>
      </c>
      <c r="C281" s="14" t="s">
        <v>158</v>
      </c>
      <c r="D281" s="14" t="s">
        <v>153</v>
      </c>
      <c r="E281" s="30"/>
      <c r="F281" s="199">
        <f>2*10+1.3*4+2.2*1</f>
        <v>27.4</v>
      </c>
      <c r="G281" s="36"/>
      <c r="H281" s="36"/>
      <c r="I281" s="36"/>
      <c r="J281" s="49"/>
      <c r="K281" s="36"/>
      <c r="L281" s="49"/>
      <c r="M281" s="212"/>
      <c r="N281" s="22"/>
    </row>
    <row r="282" spans="1:14" s="19" customFormat="1" ht="18">
      <c r="A282" s="116"/>
      <c r="B282" s="10"/>
      <c r="C282" s="31" t="s">
        <v>12</v>
      </c>
      <c r="D282" s="31" t="s">
        <v>192</v>
      </c>
      <c r="E282" s="24">
        <v>1</v>
      </c>
      <c r="F282" s="54">
        <f>F281*E282</f>
        <v>27.4</v>
      </c>
      <c r="G282" s="30">
        <v>0</v>
      </c>
      <c r="H282" s="22">
        <f>G282*F282</f>
        <v>0</v>
      </c>
      <c r="I282" s="61">
        <v>25</v>
      </c>
      <c r="J282" s="40">
        <f>I282*F282</f>
        <v>685</v>
      </c>
      <c r="K282" s="30">
        <f>G282*0.03</f>
        <v>0</v>
      </c>
      <c r="L282" s="40">
        <f>K282*F282</f>
        <v>0</v>
      </c>
      <c r="M282" s="200">
        <f>G282+I282+K282</f>
        <v>25</v>
      </c>
      <c r="N282" s="22">
        <f>L282+J282+H282</f>
        <v>685</v>
      </c>
    </row>
    <row r="283" spans="1:14" s="19" customFormat="1" ht="18">
      <c r="A283" s="116"/>
      <c r="B283" s="10"/>
      <c r="C283" s="31" t="s">
        <v>58</v>
      </c>
      <c r="D283" s="31" t="s">
        <v>192</v>
      </c>
      <c r="E283" s="24">
        <v>1</v>
      </c>
      <c r="F283" s="54">
        <f>F281*E283</f>
        <v>27.4</v>
      </c>
      <c r="G283" s="30">
        <f>700/1.18/2.2</f>
        <v>269.64560862865943</v>
      </c>
      <c r="H283" s="22">
        <f>G283*F283</f>
        <v>7388.289676425268</v>
      </c>
      <c r="I283" s="12"/>
      <c r="J283" s="40">
        <f>I283*F283</f>
        <v>0</v>
      </c>
      <c r="K283" s="30">
        <f>G283*0.03</f>
        <v>8.089368258859782</v>
      </c>
      <c r="L283" s="40">
        <f>K283*F283</f>
        <v>221.648690292758</v>
      </c>
      <c r="M283" s="200">
        <f>G283+I283+K283</f>
        <v>277.7349768875192</v>
      </c>
      <c r="N283" s="22">
        <f>L283+J283+H283</f>
        <v>7609.938366718026</v>
      </c>
    </row>
    <row r="284" spans="1:14" s="16" customFormat="1" ht="31.5">
      <c r="A284" s="59">
        <f>A281+1</f>
        <v>50</v>
      </c>
      <c r="B284" s="80" t="s">
        <v>94</v>
      </c>
      <c r="C284" s="14" t="s">
        <v>161</v>
      </c>
      <c r="D284" s="14" t="s">
        <v>153</v>
      </c>
      <c r="E284" s="30"/>
      <c r="F284" s="199">
        <f>15+5.4+3.4+11.6+5.1+7.9+1.2+5.1+23</f>
        <v>77.7</v>
      </c>
      <c r="G284" s="36"/>
      <c r="H284" s="36"/>
      <c r="I284" s="47"/>
      <c r="J284" s="49"/>
      <c r="K284" s="47"/>
      <c r="L284" s="49"/>
      <c r="M284" s="212"/>
      <c r="N284" s="22"/>
    </row>
    <row r="285" spans="1:14" s="19" customFormat="1" ht="18">
      <c r="A285" s="116"/>
      <c r="B285" s="10"/>
      <c r="C285" s="31" t="s">
        <v>12</v>
      </c>
      <c r="D285" s="31" t="s">
        <v>192</v>
      </c>
      <c r="E285" s="24">
        <v>1</v>
      </c>
      <c r="F285" s="54">
        <f>F284*E285</f>
        <v>77.7</v>
      </c>
      <c r="G285" s="30">
        <v>0</v>
      </c>
      <c r="H285" s="22">
        <f>G285*F285</f>
        <v>0</v>
      </c>
      <c r="I285" s="12">
        <f>37.5</f>
        <v>37.5</v>
      </c>
      <c r="J285" s="40">
        <f>I285*F285</f>
        <v>2913.75</v>
      </c>
      <c r="K285" s="30">
        <f>G285*0.03</f>
        <v>0</v>
      </c>
      <c r="L285" s="40">
        <f>K285*F285</f>
        <v>0</v>
      </c>
      <c r="M285" s="200">
        <f>G285+I285+K285</f>
        <v>37.5</v>
      </c>
      <c r="N285" s="22">
        <f>L285+J285+H285</f>
        <v>2913.75</v>
      </c>
    </row>
    <row r="286" spans="1:14" s="19" customFormat="1" ht="18">
      <c r="A286" s="116"/>
      <c r="B286" s="10"/>
      <c r="C286" s="31" t="s">
        <v>92</v>
      </c>
      <c r="D286" s="31" t="s">
        <v>192</v>
      </c>
      <c r="E286" s="24">
        <v>1</v>
      </c>
      <c r="F286" s="54">
        <f>F284*E286</f>
        <v>77.7</v>
      </c>
      <c r="G286" s="30">
        <f>260*1.75/1.18-I285</f>
        <v>348.0932203389831</v>
      </c>
      <c r="H286" s="22">
        <f>G286*F286</f>
        <v>27046.843220338986</v>
      </c>
      <c r="I286" s="61"/>
      <c r="J286" s="40">
        <f>I286*F286</f>
        <v>0</v>
      </c>
      <c r="K286" s="30">
        <f>G286*0.03</f>
        <v>10.442796610169493</v>
      </c>
      <c r="L286" s="40">
        <f>K286*F286</f>
        <v>811.4052966101697</v>
      </c>
      <c r="M286" s="200">
        <f>G286+I286+K286</f>
        <v>358.53601694915255</v>
      </c>
      <c r="N286" s="22">
        <f>L286+J286+H286</f>
        <v>27858.248516949156</v>
      </c>
    </row>
    <row r="287" spans="1:14" s="16" customFormat="1" ht="31.5">
      <c r="A287" s="59">
        <f>A284+1</f>
        <v>51</v>
      </c>
      <c r="B287" s="80" t="s">
        <v>160</v>
      </c>
      <c r="C287" s="14" t="s">
        <v>159</v>
      </c>
      <c r="D287" s="14" t="s">
        <v>153</v>
      </c>
      <c r="E287" s="30"/>
      <c r="F287" s="199">
        <f>12.3+4+6</f>
        <v>22.3</v>
      </c>
      <c r="G287" s="36"/>
      <c r="H287" s="36"/>
      <c r="I287" s="47"/>
      <c r="J287" s="49"/>
      <c r="K287" s="47"/>
      <c r="L287" s="49"/>
      <c r="M287" s="212"/>
      <c r="N287" s="22"/>
    </row>
    <row r="288" spans="1:14" s="19" customFormat="1" ht="18">
      <c r="A288" s="116"/>
      <c r="B288" s="10"/>
      <c r="C288" s="31" t="s">
        <v>12</v>
      </c>
      <c r="D288" s="31" t="s">
        <v>192</v>
      </c>
      <c r="E288" s="24">
        <v>1</v>
      </c>
      <c r="F288" s="54">
        <f>F287*E288</f>
        <v>22.3</v>
      </c>
      <c r="G288" s="30">
        <v>0</v>
      </c>
      <c r="H288" s="22">
        <f>G288*F288</f>
        <v>0</v>
      </c>
      <c r="I288" s="12">
        <f>37.5</f>
        <v>37.5</v>
      </c>
      <c r="J288" s="40">
        <f>I288*F288</f>
        <v>836.25</v>
      </c>
      <c r="K288" s="30">
        <f>G288*0.03</f>
        <v>0</v>
      </c>
      <c r="L288" s="40">
        <f>K288*F288</f>
        <v>0</v>
      </c>
      <c r="M288" s="200">
        <f>G288+I288+K288</f>
        <v>37.5</v>
      </c>
      <c r="N288" s="22">
        <f>L288+J288+H288</f>
        <v>836.25</v>
      </c>
    </row>
    <row r="289" spans="1:14" s="19" customFormat="1" ht="18">
      <c r="A289" s="116"/>
      <c r="B289" s="10"/>
      <c r="C289" s="31" t="s">
        <v>93</v>
      </c>
      <c r="D289" s="31" t="s">
        <v>192</v>
      </c>
      <c r="E289" s="24">
        <v>1</v>
      </c>
      <c r="F289" s="54">
        <f>F287*E289</f>
        <v>22.3</v>
      </c>
      <c r="G289" s="30">
        <f>260*1.75/1.18-I288</f>
        <v>348.0932203389831</v>
      </c>
      <c r="H289" s="22">
        <f>G289*F289</f>
        <v>7762.4788135593235</v>
      </c>
      <c r="I289" s="61"/>
      <c r="J289" s="40">
        <f>I289*F289</f>
        <v>0</v>
      </c>
      <c r="K289" s="30">
        <f>G289*0.03</f>
        <v>10.442796610169493</v>
      </c>
      <c r="L289" s="40">
        <f>K289*F289</f>
        <v>232.8743644067797</v>
      </c>
      <c r="M289" s="200">
        <f>G289+I289+K289</f>
        <v>358.53601694915255</v>
      </c>
      <c r="N289" s="22">
        <f>L289+J289+H289</f>
        <v>7995.353177966103</v>
      </c>
    </row>
    <row r="290" spans="1:14" s="16" customFormat="1" ht="21" customHeight="1">
      <c r="A290" s="59">
        <f>A287+1</f>
        <v>52</v>
      </c>
      <c r="B290" s="80" t="s">
        <v>94</v>
      </c>
      <c r="C290" s="14" t="s">
        <v>175</v>
      </c>
      <c r="D290" s="14" t="s">
        <v>5</v>
      </c>
      <c r="E290" s="30"/>
      <c r="F290" s="199">
        <f>1.1*4+1*3</f>
        <v>7.4</v>
      </c>
      <c r="G290" s="36"/>
      <c r="H290" s="36"/>
      <c r="I290" s="47"/>
      <c r="J290" s="49"/>
      <c r="K290" s="47"/>
      <c r="L290" s="49"/>
      <c r="M290" s="212"/>
      <c r="N290" s="22"/>
    </row>
    <row r="291" spans="1:14" s="19" customFormat="1" ht="15.75">
      <c r="A291" s="116"/>
      <c r="B291" s="10"/>
      <c r="C291" s="31" t="s">
        <v>12</v>
      </c>
      <c r="D291" s="31" t="str">
        <f>D290</f>
        <v>grZ.m.</v>
      </c>
      <c r="E291" s="24">
        <v>1</v>
      </c>
      <c r="F291" s="54">
        <f>F290*E291</f>
        <v>7.4</v>
      </c>
      <c r="G291" s="30">
        <v>0</v>
      </c>
      <c r="H291" s="22">
        <f>G291*F291</f>
        <v>0</v>
      </c>
      <c r="I291" s="12">
        <v>7.5</v>
      </c>
      <c r="J291" s="40">
        <f>I291*F291</f>
        <v>55.5</v>
      </c>
      <c r="K291" s="30">
        <f>G291*0.03</f>
        <v>0</v>
      </c>
      <c r="L291" s="40">
        <f>K291*F291</f>
        <v>0</v>
      </c>
      <c r="M291" s="200">
        <f>G291+I291+K291</f>
        <v>7.5</v>
      </c>
      <c r="N291" s="22">
        <f>L291+J291+H291</f>
        <v>55.5</v>
      </c>
    </row>
    <row r="292" spans="1:14" s="19" customFormat="1" ht="15.75">
      <c r="A292" s="116"/>
      <c r="B292" s="10"/>
      <c r="C292" s="31" t="s">
        <v>190</v>
      </c>
      <c r="D292" s="31" t="str">
        <f>D290</f>
        <v>grZ.m.</v>
      </c>
      <c r="E292" s="24">
        <v>1</v>
      </c>
      <c r="F292" s="54">
        <f>F290*E292</f>
        <v>7.4</v>
      </c>
      <c r="G292" s="30">
        <f>20*1.75/1.18-I291</f>
        <v>22.161016949152543</v>
      </c>
      <c r="H292" s="22">
        <f>G292*F292</f>
        <v>163.99152542372883</v>
      </c>
      <c r="I292" s="61"/>
      <c r="J292" s="40">
        <f>I292*F292</f>
        <v>0</v>
      </c>
      <c r="K292" s="30">
        <f>G292*0.03</f>
        <v>0.6648305084745763</v>
      </c>
      <c r="L292" s="40">
        <f>K292*F292</f>
        <v>4.919745762711864</v>
      </c>
      <c r="M292" s="200">
        <f>G292+I292+K292</f>
        <v>22.82584745762712</v>
      </c>
      <c r="N292" s="22">
        <f>L292+J292+H292</f>
        <v>168.9112711864407</v>
      </c>
    </row>
    <row r="293" spans="1:14" s="16" customFormat="1" ht="21" customHeight="1">
      <c r="A293" s="59">
        <f>A290+1</f>
        <v>53</v>
      </c>
      <c r="B293" s="80" t="s">
        <v>94</v>
      </c>
      <c r="C293" s="14" t="s">
        <v>206</v>
      </c>
      <c r="D293" s="14" t="s">
        <v>5</v>
      </c>
      <c r="E293" s="30"/>
      <c r="F293" s="199">
        <v>18</v>
      </c>
      <c r="G293" s="36"/>
      <c r="H293" s="36"/>
      <c r="I293" s="47"/>
      <c r="J293" s="49"/>
      <c r="K293" s="47"/>
      <c r="L293" s="49"/>
      <c r="M293" s="212"/>
      <c r="N293" s="22"/>
    </row>
    <row r="294" spans="1:14" s="19" customFormat="1" ht="15.75">
      <c r="A294" s="116"/>
      <c r="B294" s="10"/>
      <c r="C294" s="31" t="s">
        <v>12</v>
      </c>
      <c r="D294" s="31" t="str">
        <f>D293</f>
        <v>grZ.m.</v>
      </c>
      <c r="E294" s="24">
        <v>1</v>
      </c>
      <c r="F294" s="54">
        <f>F293*E294</f>
        <v>18</v>
      </c>
      <c r="G294" s="30">
        <v>0</v>
      </c>
      <c r="H294" s="22">
        <f>G294*F294</f>
        <v>0</v>
      </c>
      <c r="I294" s="12">
        <v>25</v>
      </c>
      <c r="J294" s="40">
        <f>I294*F294</f>
        <v>450</v>
      </c>
      <c r="K294" s="30">
        <f>G294*0.03</f>
        <v>0</v>
      </c>
      <c r="L294" s="40">
        <f>K294*F294</f>
        <v>0</v>
      </c>
      <c r="M294" s="200">
        <f>G294+I294+K294</f>
        <v>25</v>
      </c>
      <c r="N294" s="22">
        <f>L294+J294+H294</f>
        <v>450</v>
      </c>
    </row>
    <row r="295" spans="1:14" s="19" customFormat="1" ht="15.75">
      <c r="A295" s="116"/>
      <c r="B295" s="10"/>
      <c r="C295" s="31" t="s">
        <v>207</v>
      </c>
      <c r="D295" s="31" t="str">
        <f>D293</f>
        <v>grZ.m.</v>
      </c>
      <c r="E295" s="24">
        <v>1</v>
      </c>
      <c r="F295" s="54">
        <f>F293*E295</f>
        <v>18</v>
      </c>
      <c r="G295" s="30">
        <f>120/1.18-I294</f>
        <v>76.69491525423729</v>
      </c>
      <c r="H295" s="22">
        <f>G295*F295</f>
        <v>1380.508474576271</v>
      </c>
      <c r="I295" s="61"/>
      <c r="J295" s="40">
        <f>I295*F295</f>
        <v>0</v>
      </c>
      <c r="K295" s="30">
        <f>G295*0.03</f>
        <v>2.3008474576271185</v>
      </c>
      <c r="L295" s="40">
        <f>K295*F295</f>
        <v>41.41525423728813</v>
      </c>
      <c r="M295" s="200">
        <f>G295+I295+K295</f>
        <v>78.9957627118644</v>
      </c>
      <c r="N295" s="22">
        <f>L295+J295+H295</f>
        <v>1421.9237288135591</v>
      </c>
    </row>
    <row r="296" spans="1:16" s="104" customFormat="1" ht="18" customHeight="1">
      <c r="A296" s="133"/>
      <c r="B296" s="198"/>
      <c r="C296" s="191" t="s">
        <v>202</v>
      </c>
      <c r="D296" s="133"/>
      <c r="E296" s="192"/>
      <c r="F296" s="133"/>
      <c r="G296" s="133"/>
      <c r="H296" s="133"/>
      <c r="I296" s="193"/>
      <c r="J296" s="133"/>
      <c r="K296" s="193"/>
      <c r="L296" s="133"/>
      <c r="M296" s="216"/>
      <c r="N296" s="192"/>
      <c r="P296" s="105"/>
    </row>
    <row r="297" spans="1:14" s="50" customFormat="1" ht="31.5">
      <c r="A297" s="88">
        <f>A293+1</f>
        <v>54</v>
      </c>
      <c r="B297" s="80" t="s">
        <v>169</v>
      </c>
      <c r="C297" s="11" t="s">
        <v>165</v>
      </c>
      <c r="D297" s="11" t="s">
        <v>153</v>
      </c>
      <c r="E297" s="44"/>
      <c r="F297" s="199">
        <f>F188</f>
        <v>233.83999999999997</v>
      </c>
      <c r="G297" s="49"/>
      <c r="H297" s="49"/>
      <c r="I297" s="49"/>
      <c r="J297" s="44"/>
      <c r="K297" s="11"/>
      <c r="L297" s="11"/>
      <c r="M297" s="214"/>
      <c r="N297" s="11"/>
    </row>
    <row r="298" spans="1:14" s="52" customFormat="1" ht="15.75" customHeight="1">
      <c r="A298" s="48"/>
      <c r="B298" s="196"/>
      <c r="C298" s="32" t="s">
        <v>12</v>
      </c>
      <c r="D298" s="20" t="s">
        <v>192</v>
      </c>
      <c r="E298" s="64">
        <v>1</v>
      </c>
      <c r="F298" s="56">
        <f>F297*E298</f>
        <v>233.83999999999997</v>
      </c>
      <c r="G298" s="30">
        <v>0</v>
      </c>
      <c r="H298" s="22">
        <f>G298*F298</f>
        <v>0</v>
      </c>
      <c r="I298" s="93">
        <v>5</v>
      </c>
      <c r="J298" s="40">
        <f>I298*F298</f>
        <v>1169.1999999999998</v>
      </c>
      <c r="K298" s="30">
        <f>G298*0.03</f>
        <v>0</v>
      </c>
      <c r="L298" s="40">
        <f>K298*F298</f>
        <v>0</v>
      </c>
      <c r="M298" s="200">
        <f>G298+I298+K298</f>
        <v>5</v>
      </c>
      <c r="N298" s="22">
        <f>L298+J298+H298</f>
        <v>1169.1999999999998</v>
      </c>
    </row>
    <row r="299" spans="1:14" s="53" customFormat="1" ht="15.75" customHeight="1">
      <c r="A299" s="48"/>
      <c r="B299" s="197"/>
      <c r="C299" s="89" t="s">
        <v>149</v>
      </c>
      <c r="D299" s="97" t="s">
        <v>120</v>
      </c>
      <c r="E299" s="56">
        <f>(2.55)/100</f>
        <v>0.0255</v>
      </c>
      <c r="F299" s="202">
        <f>F297*E299</f>
        <v>5.962919999999999</v>
      </c>
      <c r="G299" s="30"/>
      <c r="H299" s="22"/>
      <c r="I299" s="93"/>
      <c r="J299" s="40"/>
      <c r="K299" s="30"/>
      <c r="L299" s="40"/>
      <c r="M299" s="200"/>
      <c r="N299" s="22"/>
    </row>
    <row r="300" spans="1:14" s="38" customFormat="1" ht="17.25" customHeight="1">
      <c r="A300" s="109"/>
      <c r="B300" s="2"/>
      <c r="C300" s="98" t="s">
        <v>89</v>
      </c>
      <c r="D300" s="20" t="s">
        <v>49</v>
      </c>
      <c r="E300" s="20">
        <v>1.16</v>
      </c>
      <c r="F300" s="54">
        <f>E300*F299</f>
        <v>6.916987199999998</v>
      </c>
      <c r="G300" s="30">
        <f>45/1.18</f>
        <v>38.13559322033898</v>
      </c>
      <c r="H300" s="22">
        <f>G300*F300</f>
        <v>263.78341016949145</v>
      </c>
      <c r="I300" s="93"/>
      <c r="J300" s="22">
        <f>I300*F300</f>
        <v>0</v>
      </c>
      <c r="K300" s="30">
        <f>G300*0.03</f>
        <v>1.1440677966101693</v>
      </c>
      <c r="L300" s="22">
        <f>K300*F300</f>
        <v>7.913502305084742</v>
      </c>
      <c r="M300" s="200">
        <f>G300+I300+K300</f>
        <v>39.27966101694915</v>
      </c>
      <c r="N300" s="22">
        <f>L300+J300+H300</f>
        <v>271.6969124745762</v>
      </c>
    </row>
    <row r="301" spans="1:14" s="38" customFormat="1" ht="17.25" customHeight="1">
      <c r="A301" s="109"/>
      <c r="B301" s="2"/>
      <c r="C301" s="98" t="s">
        <v>90</v>
      </c>
      <c r="D301" s="20" t="s">
        <v>6</v>
      </c>
      <c r="E301" s="20">
        <v>0.416</v>
      </c>
      <c r="F301" s="54">
        <f>E301*F299</f>
        <v>2.4805747199999995</v>
      </c>
      <c r="G301" s="30">
        <f>10.5*20/1.18</f>
        <v>177.96610169491527</v>
      </c>
      <c r="H301" s="22">
        <f>G301*F301</f>
        <v>441.45821288135585</v>
      </c>
      <c r="I301" s="93"/>
      <c r="J301" s="22">
        <f>I301*F301</f>
        <v>0</v>
      </c>
      <c r="K301" s="30">
        <f>G301*0.03</f>
        <v>5.338983050847458</v>
      </c>
      <c r="L301" s="22">
        <f>K301*F301</f>
        <v>13.243746386440675</v>
      </c>
      <c r="M301" s="200">
        <f>G301+I301+K301</f>
        <v>183.3050847457627</v>
      </c>
      <c r="N301" s="22">
        <f>L301+J301+H301</f>
        <v>454.7019592677965</v>
      </c>
    </row>
    <row r="302" spans="1:14" s="50" customFormat="1" ht="47.25">
      <c r="A302" s="88">
        <f>A297+1</f>
        <v>55</v>
      </c>
      <c r="B302" s="80" t="s">
        <v>188</v>
      </c>
      <c r="C302" s="11" t="s">
        <v>189</v>
      </c>
      <c r="D302" s="11" t="s">
        <v>153</v>
      </c>
      <c r="E302" s="44"/>
      <c r="F302" s="199">
        <f>20</f>
        <v>20</v>
      </c>
      <c r="G302" s="49"/>
      <c r="H302" s="49"/>
      <c r="I302" s="49"/>
      <c r="J302" s="44"/>
      <c r="K302" s="11"/>
      <c r="L302" s="11"/>
      <c r="M302" s="214"/>
      <c r="N302" s="11"/>
    </row>
    <row r="303" spans="1:14" s="52" customFormat="1" ht="15.75" customHeight="1">
      <c r="A303" s="48"/>
      <c r="B303" s="196"/>
      <c r="C303" s="32" t="s">
        <v>12</v>
      </c>
      <c r="D303" s="20" t="s">
        <v>192</v>
      </c>
      <c r="E303" s="64">
        <v>1</v>
      </c>
      <c r="F303" s="56">
        <f>F302*E303</f>
        <v>20</v>
      </c>
      <c r="G303" s="30">
        <v>0</v>
      </c>
      <c r="H303" s="22">
        <f>G303*F303</f>
        <v>0</v>
      </c>
      <c r="I303" s="93">
        <v>12.5</v>
      </c>
      <c r="J303" s="40">
        <f>I303*F303</f>
        <v>250</v>
      </c>
      <c r="K303" s="30">
        <f>G303*0.03</f>
        <v>0</v>
      </c>
      <c r="L303" s="40">
        <f>K303*F303</f>
        <v>0</v>
      </c>
      <c r="M303" s="200">
        <f>G303+I303+K303</f>
        <v>12.5</v>
      </c>
      <c r="N303" s="22">
        <f>L303+J303+H303</f>
        <v>250</v>
      </c>
    </row>
    <row r="304" spans="1:14" s="53" customFormat="1" ht="15.75" customHeight="1">
      <c r="A304" s="48"/>
      <c r="B304" s="197"/>
      <c r="C304" s="89" t="s">
        <v>149</v>
      </c>
      <c r="D304" s="97" t="s">
        <v>120</v>
      </c>
      <c r="E304" s="56">
        <f>(11.6)/100</f>
        <v>0.11599999999999999</v>
      </c>
      <c r="F304" s="202">
        <f>F302*E304</f>
        <v>2.32</v>
      </c>
      <c r="G304" s="30"/>
      <c r="H304" s="22"/>
      <c r="I304" s="93"/>
      <c r="J304" s="40"/>
      <c r="K304" s="30"/>
      <c r="L304" s="40"/>
      <c r="M304" s="200"/>
      <c r="N304" s="22"/>
    </row>
    <row r="305" spans="1:14" s="38" customFormat="1" ht="17.25" customHeight="1">
      <c r="A305" s="109"/>
      <c r="B305" s="2"/>
      <c r="C305" s="98" t="s">
        <v>89</v>
      </c>
      <c r="D305" s="20" t="s">
        <v>49</v>
      </c>
      <c r="E305" s="20">
        <v>1.16</v>
      </c>
      <c r="F305" s="54">
        <f>E305*F304</f>
        <v>2.6912</v>
      </c>
      <c r="G305" s="30">
        <f>45/1.18</f>
        <v>38.13559322033898</v>
      </c>
      <c r="H305" s="22">
        <f>G305*F305</f>
        <v>102.63050847457626</v>
      </c>
      <c r="I305" s="93"/>
      <c r="J305" s="22">
        <f>I305*F305</f>
        <v>0</v>
      </c>
      <c r="K305" s="30">
        <f>G305*0.03</f>
        <v>1.1440677966101693</v>
      </c>
      <c r="L305" s="22">
        <f>K305*F305</f>
        <v>3.0789152542372875</v>
      </c>
      <c r="M305" s="200">
        <f>G305+I305+K305</f>
        <v>39.27966101694915</v>
      </c>
      <c r="N305" s="22">
        <f>L305+J305+H305</f>
        <v>105.70942372881355</v>
      </c>
    </row>
    <row r="306" spans="1:14" s="38" customFormat="1" ht="17.25" customHeight="1">
      <c r="A306" s="109"/>
      <c r="B306" s="2"/>
      <c r="C306" s="98" t="s">
        <v>90</v>
      </c>
      <c r="D306" s="20" t="s">
        <v>6</v>
      </c>
      <c r="E306" s="20">
        <v>0.416</v>
      </c>
      <c r="F306" s="54">
        <f>E306*F304</f>
        <v>0.9651199999999999</v>
      </c>
      <c r="G306" s="30">
        <f>10.5*20/1.18</f>
        <v>177.96610169491527</v>
      </c>
      <c r="H306" s="22">
        <f>G306*F306</f>
        <v>171.7586440677966</v>
      </c>
      <c r="I306" s="93"/>
      <c r="J306" s="22">
        <f>I306*F306</f>
        <v>0</v>
      </c>
      <c r="K306" s="30">
        <f>G306*0.03</f>
        <v>5.338983050847458</v>
      </c>
      <c r="L306" s="22">
        <f>K306*F306</f>
        <v>5.152759322033898</v>
      </c>
      <c r="M306" s="200">
        <f>G306+I306+K306</f>
        <v>183.3050847457627</v>
      </c>
      <c r="N306" s="22">
        <f>L306+J306+H306</f>
        <v>176.9114033898305</v>
      </c>
    </row>
    <row r="307" spans="1:14" s="50" customFormat="1" ht="31.5">
      <c r="A307" s="88">
        <f>A302+1</f>
        <v>56</v>
      </c>
      <c r="B307" s="80" t="s">
        <v>94</v>
      </c>
      <c r="C307" s="11" t="s">
        <v>187</v>
      </c>
      <c r="D307" s="11" t="s">
        <v>153</v>
      </c>
      <c r="E307" s="44"/>
      <c r="F307" s="199">
        <f>20</f>
        <v>20</v>
      </c>
      <c r="G307" s="49"/>
      <c r="H307" s="49"/>
      <c r="I307" s="49"/>
      <c r="J307" s="44"/>
      <c r="K307" s="11"/>
      <c r="L307" s="11"/>
      <c r="M307" s="214"/>
      <c r="N307" s="11"/>
    </row>
    <row r="308" spans="1:14" s="52" customFormat="1" ht="15.75" customHeight="1">
      <c r="A308" s="48"/>
      <c r="B308" s="196"/>
      <c r="C308" s="32" t="s">
        <v>12</v>
      </c>
      <c r="D308" s="20" t="s">
        <v>192</v>
      </c>
      <c r="E308" s="64">
        <v>1</v>
      </c>
      <c r="F308" s="56">
        <f>F307*E308</f>
        <v>20</v>
      </c>
      <c r="G308" s="30">
        <v>0</v>
      </c>
      <c r="H308" s="22">
        <f>G308*F308</f>
        <v>0</v>
      </c>
      <c r="I308" s="115">
        <v>12.5</v>
      </c>
      <c r="J308" s="40">
        <f>I308*F308</f>
        <v>250</v>
      </c>
      <c r="K308" s="30">
        <f>G308*0.03</f>
        <v>0</v>
      </c>
      <c r="L308" s="40">
        <f>K308*F308</f>
        <v>0</v>
      </c>
      <c r="M308" s="200">
        <f>G308+I308+K308</f>
        <v>12.5</v>
      </c>
      <c r="N308" s="22">
        <f>L308+J308+H308</f>
        <v>250</v>
      </c>
    </row>
    <row r="309" spans="1:14" s="19" customFormat="1" ht="15" customHeight="1">
      <c r="A309" s="116"/>
      <c r="B309" s="2"/>
      <c r="C309" s="31" t="s">
        <v>31</v>
      </c>
      <c r="D309" s="32" t="s">
        <v>81</v>
      </c>
      <c r="E309" s="24">
        <v>7</v>
      </c>
      <c r="F309" s="54">
        <f>F307*E309</f>
        <v>140</v>
      </c>
      <c r="G309" s="30">
        <f>10/25/1.18</f>
        <v>0.33898305084745767</v>
      </c>
      <c r="H309" s="22">
        <f>G309*F309</f>
        <v>47.457627118644076</v>
      </c>
      <c r="I309" s="61"/>
      <c r="J309" s="40">
        <f>I309*F309</f>
        <v>0</v>
      </c>
      <c r="K309" s="30">
        <f>G309*0.03</f>
        <v>0.01016949152542373</v>
      </c>
      <c r="L309" s="40">
        <f>K309*F309</f>
        <v>1.4237288135593222</v>
      </c>
      <c r="M309" s="200">
        <f>G309+I309+K309</f>
        <v>0.3491525423728814</v>
      </c>
      <c r="N309" s="22">
        <f>L309+J309+H309</f>
        <v>48.8813559322034</v>
      </c>
    </row>
    <row r="310" spans="1:14" s="38" customFormat="1" ht="17.25" customHeight="1">
      <c r="A310" s="109"/>
      <c r="B310" s="2"/>
      <c r="C310" s="98" t="s">
        <v>210</v>
      </c>
      <c r="D310" s="20" t="s">
        <v>192</v>
      </c>
      <c r="E310" s="40">
        <v>1</v>
      </c>
      <c r="F310" s="54">
        <f>E310*F307</f>
        <v>20</v>
      </c>
      <c r="G310" s="30">
        <f>80/1.18</f>
        <v>67.79661016949153</v>
      </c>
      <c r="H310" s="22">
        <f>G310*F310</f>
        <v>1355.9322033898306</v>
      </c>
      <c r="I310" s="93"/>
      <c r="J310" s="22">
        <f>I310*F310</f>
        <v>0</v>
      </c>
      <c r="K310" s="30">
        <f>G310*0.03</f>
        <v>2.0338983050847457</v>
      </c>
      <c r="L310" s="22">
        <f>K310*F310</f>
        <v>40.67796610169491</v>
      </c>
      <c r="M310" s="200">
        <f>G310+I310+K310</f>
        <v>69.83050847457628</v>
      </c>
      <c r="N310" s="22">
        <f>L310+J310+H310</f>
        <v>1396.6101694915255</v>
      </c>
    </row>
    <row r="311" spans="1:14" s="16" customFormat="1" ht="31.5">
      <c r="A311" s="59">
        <f>A307+1</f>
        <v>57</v>
      </c>
      <c r="B311" s="80" t="s">
        <v>17</v>
      </c>
      <c r="C311" s="14" t="s">
        <v>56</v>
      </c>
      <c r="D311" s="14" t="s">
        <v>153</v>
      </c>
      <c r="E311" s="30"/>
      <c r="F311" s="199">
        <f>F297</f>
        <v>233.83999999999997</v>
      </c>
      <c r="G311" s="36"/>
      <c r="H311" s="36"/>
      <c r="I311" s="36"/>
      <c r="J311" s="49"/>
      <c r="K311" s="36"/>
      <c r="L311" s="49"/>
      <c r="M311" s="212"/>
      <c r="N311" s="22"/>
    </row>
    <row r="312" spans="1:14" s="53" customFormat="1" ht="17.25" customHeight="1">
      <c r="A312" s="48"/>
      <c r="B312" s="9"/>
      <c r="C312" s="31" t="s">
        <v>12</v>
      </c>
      <c r="D312" s="20" t="s">
        <v>192</v>
      </c>
      <c r="E312" s="24">
        <v>1</v>
      </c>
      <c r="F312" s="56">
        <f>F311*E312</f>
        <v>233.83999999999997</v>
      </c>
      <c r="G312" s="30">
        <v>0</v>
      </c>
      <c r="H312" s="22">
        <f>G312*F312</f>
        <v>0</v>
      </c>
      <c r="I312" s="45">
        <f>6.25</f>
        <v>6.25</v>
      </c>
      <c r="J312" s="40">
        <f>I312*F312</f>
        <v>1461.4999999999998</v>
      </c>
      <c r="K312" s="30">
        <f>G312*0.03</f>
        <v>0</v>
      </c>
      <c r="L312" s="40">
        <f>K312*F312</f>
        <v>0</v>
      </c>
      <c r="M312" s="200">
        <f>G312+I312+K312</f>
        <v>6.25</v>
      </c>
      <c r="N312" s="22">
        <f>L312+J312+H312</f>
        <v>1461.4999999999998</v>
      </c>
    </row>
    <row r="313" spans="1:14" s="19" customFormat="1" ht="17.25" customHeight="1">
      <c r="A313" s="116"/>
      <c r="B313" s="10"/>
      <c r="C313" s="31" t="s">
        <v>36</v>
      </c>
      <c r="D313" s="32" t="s">
        <v>81</v>
      </c>
      <c r="E313" s="24">
        <v>0.63</v>
      </c>
      <c r="F313" s="56">
        <f>E313*F311</f>
        <v>147.3192</v>
      </c>
      <c r="G313" s="30">
        <f>105/25/1.18</f>
        <v>3.5593220338983054</v>
      </c>
      <c r="H313" s="22">
        <f>G313*F313</f>
        <v>524.3564745762712</v>
      </c>
      <c r="I313" s="61"/>
      <c r="J313" s="40">
        <f>I313*F313</f>
        <v>0</v>
      </c>
      <c r="K313" s="30">
        <f>G313*0.03</f>
        <v>0.10677966101694916</v>
      </c>
      <c r="L313" s="40">
        <f>K313*F313</f>
        <v>15.730694237288137</v>
      </c>
      <c r="M313" s="200">
        <f>G313+I313+K313</f>
        <v>3.6661016949152545</v>
      </c>
      <c r="N313" s="22">
        <f>L313+J313+H313</f>
        <v>540.0871688135594</v>
      </c>
    </row>
    <row r="314" spans="1:14" s="19" customFormat="1" ht="17.25" customHeight="1">
      <c r="A314" s="116"/>
      <c r="B314" s="10"/>
      <c r="C314" s="31" t="s">
        <v>57</v>
      </c>
      <c r="D314" s="32" t="s">
        <v>81</v>
      </c>
      <c r="E314" s="24">
        <v>0.79</v>
      </c>
      <c r="F314" s="56">
        <f>E314*F311</f>
        <v>184.7336</v>
      </c>
      <c r="G314" s="30">
        <f>50/30/1.18</f>
        <v>1.4124293785310735</v>
      </c>
      <c r="H314" s="22">
        <f>G314*F314</f>
        <v>260.92316384180793</v>
      </c>
      <c r="I314" s="61"/>
      <c r="J314" s="40">
        <f>I314*F314</f>
        <v>0</v>
      </c>
      <c r="K314" s="30">
        <f>G314*0.03</f>
        <v>0.0423728813559322</v>
      </c>
      <c r="L314" s="40">
        <f>K314*F314</f>
        <v>7.827694915254237</v>
      </c>
      <c r="M314" s="200">
        <f>G314+I314+K314</f>
        <v>1.4548022598870056</v>
      </c>
      <c r="N314" s="22">
        <f>L314+J314+H314</f>
        <v>268.7508587570622</v>
      </c>
    </row>
    <row r="315" spans="1:14" s="16" customFormat="1" ht="31.5">
      <c r="A315" s="59">
        <f>A311+1</f>
        <v>58</v>
      </c>
      <c r="B315" s="80" t="s">
        <v>94</v>
      </c>
      <c r="C315" s="14" t="s">
        <v>224</v>
      </c>
      <c r="D315" s="14" t="s">
        <v>153</v>
      </c>
      <c r="E315" s="30"/>
      <c r="F315" s="199">
        <f>(7.4+8.1)*3.8</f>
        <v>58.9</v>
      </c>
      <c r="G315" s="36"/>
      <c r="H315" s="36"/>
      <c r="I315" s="36"/>
      <c r="J315" s="49"/>
      <c r="K315" s="36"/>
      <c r="L315" s="49"/>
      <c r="M315" s="212"/>
      <c r="N315" s="22"/>
    </row>
    <row r="316" spans="1:14" s="53" customFormat="1" ht="15" customHeight="1">
      <c r="A316" s="48"/>
      <c r="B316" s="9"/>
      <c r="C316" s="31" t="s">
        <v>12</v>
      </c>
      <c r="D316" s="20" t="s">
        <v>192</v>
      </c>
      <c r="E316" s="24">
        <v>1</v>
      </c>
      <c r="F316" s="56">
        <f>F315*E316</f>
        <v>58.9</v>
      </c>
      <c r="G316" s="30">
        <v>0</v>
      </c>
      <c r="H316" s="22">
        <f>G316*F316</f>
        <v>0</v>
      </c>
      <c r="I316" s="45">
        <v>25</v>
      </c>
      <c r="J316" s="40">
        <f>I316*F316</f>
        <v>1472.5</v>
      </c>
      <c r="K316" s="30">
        <f>G316*0.03</f>
        <v>0</v>
      </c>
      <c r="L316" s="40">
        <f>K316*F316</f>
        <v>0</v>
      </c>
      <c r="M316" s="200">
        <f>G316+I316+K316</f>
        <v>25</v>
      </c>
      <c r="N316" s="22">
        <f>L316+J316+H316</f>
        <v>1472.5</v>
      </c>
    </row>
    <row r="317" spans="1:14" s="19" customFormat="1" ht="15" customHeight="1">
      <c r="A317" s="116"/>
      <c r="B317" s="10"/>
      <c r="C317" s="31" t="s">
        <v>41</v>
      </c>
      <c r="D317" s="20" t="s">
        <v>192</v>
      </c>
      <c r="E317" s="24">
        <v>1</v>
      </c>
      <c r="F317" s="56">
        <f>E317*F315</f>
        <v>58.9</v>
      </c>
      <c r="G317" s="30">
        <v>37.4</v>
      </c>
      <c r="H317" s="22">
        <f>G317*F317</f>
        <v>2202.8599999999997</v>
      </c>
      <c r="I317" s="61"/>
      <c r="J317" s="40">
        <f>I317*F317</f>
        <v>0</v>
      </c>
      <c r="K317" s="30">
        <f>G317*0.03</f>
        <v>1.1219999999999999</v>
      </c>
      <c r="L317" s="40">
        <f>K317*F317</f>
        <v>66.08579999999999</v>
      </c>
      <c r="M317" s="200">
        <f>G317+I317+K317</f>
        <v>38.522</v>
      </c>
      <c r="N317" s="22">
        <f>L317+J317+H317</f>
        <v>2268.9457999999995</v>
      </c>
    </row>
    <row r="318" spans="1:14" s="16" customFormat="1" ht="33" customHeight="1">
      <c r="A318" s="59">
        <f>A315+1</f>
        <v>59</v>
      </c>
      <c r="B318" s="80" t="s">
        <v>94</v>
      </c>
      <c r="C318" s="14" t="s">
        <v>213</v>
      </c>
      <c r="D318" s="14" t="s">
        <v>10</v>
      </c>
      <c r="E318" s="30"/>
      <c r="F318" s="199">
        <v>5</v>
      </c>
      <c r="G318" s="36"/>
      <c r="H318" s="36"/>
      <c r="I318" s="36"/>
      <c r="J318" s="49"/>
      <c r="K318" s="36"/>
      <c r="L318" s="49"/>
      <c r="M318" s="212"/>
      <c r="N318" s="22"/>
    </row>
    <row r="319" spans="1:16" s="39" customFormat="1" ht="15" customHeight="1">
      <c r="A319" s="116"/>
      <c r="B319" s="10"/>
      <c r="C319" s="43" t="s">
        <v>12</v>
      </c>
      <c r="D319" s="20" t="s">
        <v>10</v>
      </c>
      <c r="E319" s="51">
        <f>1</f>
        <v>1</v>
      </c>
      <c r="F319" s="54">
        <f>F318*E319</f>
        <v>5</v>
      </c>
      <c r="G319" s="30">
        <v>0</v>
      </c>
      <c r="H319" s="22">
        <f>G319*F319</f>
        <v>0</v>
      </c>
      <c r="I319" s="12">
        <v>150</v>
      </c>
      <c r="J319" s="40">
        <f>I319*F319</f>
        <v>750</v>
      </c>
      <c r="K319" s="30">
        <f>G319*0.03</f>
        <v>0</v>
      </c>
      <c r="L319" s="40">
        <f>K319*F319</f>
        <v>0</v>
      </c>
      <c r="M319" s="200">
        <f>G319+I319+K319</f>
        <v>150</v>
      </c>
      <c r="N319" s="22">
        <f>L319+J319+H319</f>
        <v>750</v>
      </c>
      <c r="O319" s="19"/>
      <c r="P319" s="19"/>
    </row>
    <row r="320" spans="1:14" s="19" customFormat="1" ht="15" customHeight="1">
      <c r="A320" s="116"/>
      <c r="B320" s="10"/>
      <c r="C320" s="31" t="s">
        <v>41</v>
      </c>
      <c r="D320" s="20" t="s">
        <v>10</v>
      </c>
      <c r="E320" s="24">
        <v>1</v>
      </c>
      <c r="F320" s="54">
        <f>E320*F318</f>
        <v>5</v>
      </c>
      <c r="G320" s="24">
        <v>50</v>
      </c>
      <c r="H320" s="22">
        <f>G320*F320</f>
        <v>250</v>
      </c>
      <c r="I320" s="61"/>
      <c r="J320" s="40">
        <f>I320*F320</f>
        <v>0</v>
      </c>
      <c r="K320" s="30">
        <f>G320*0.03</f>
        <v>1.5</v>
      </c>
      <c r="L320" s="40">
        <f>K320*F320</f>
        <v>7.5</v>
      </c>
      <c r="M320" s="200">
        <f>G320+I320+K320</f>
        <v>51.5</v>
      </c>
      <c r="N320" s="22">
        <f>L320+J320+H320</f>
        <v>257.5</v>
      </c>
    </row>
    <row r="321" spans="1:14" s="16" customFormat="1" ht="31.5">
      <c r="A321" s="59">
        <f>A318+1</f>
        <v>60</v>
      </c>
      <c r="B321" s="80" t="s">
        <v>94</v>
      </c>
      <c r="C321" s="14" t="s">
        <v>208</v>
      </c>
      <c r="D321" s="14" t="s">
        <v>5</v>
      </c>
      <c r="E321" s="30"/>
      <c r="F321" s="199">
        <v>8</v>
      </c>
      <c r="G321" s="36"/>
      <c r="H321" s="36"/>
      <c r="I321" s="47"/>
      <c r="J321" s="49"/>
      <c r="K321" s="47"/>
      <c r="L321" s="49"/>
      <c r="M321" s="212"/>
      <c r="N321" s="22"/>
    </row>
    <row r="322" spans="1:14" s="19" customFormat="1" ht="15.75">
      <c r="A322" s="116"/>
      <c r="B322" s="10"/>
      <c r="C322" s="31" t="s">
        <v>12</v>
      </c>
      <c r="D322" s="31" t="str">
        <f>D321</f>
        <v>grZ.m.</v>
      </c>
      <c r="E322" s="24">
        <v>1</v>
      </c>
      <c r="F322" s="54">
        <f>F321*E322</f>
        <v>8</v>
      </c>
      <c r="G322" s="30">
        <v>0</v>
      </c>
      <c r="H322" s="22">
        <f>G322*F322</f>
        <v>0</v>
      </c>
      <c r="I322" s="12">
        <v>25</v>
      </c>
      <c r="J322" s="40">
        <f>I322*F322</f>
        <v>200</v>
      </c>
      <c r="K322" s="30">
        <f>G322*0.03</f>
        <v>0</v>
      </c>
      <c r="L322" s="40">
        <f>K322*F322</f>
        <v>0</v>
      </c>
      <c r="M322" s="200">
        <f>G322+I322+K322</f>
        <v>25</v>
      </c>
      <c r="N322" s="22">
        <f>L322+J322+H322</f>
        <v>200</v>
      </c>
    </row>
    <row r="323" spans="1:14" s="19" customFormat="1" ht="15.75">
      <c r="A323" s="116"/>
      <c r="B323" s="10"/>
      <c r="C323" s="31" t="s">
        <v>209</v>
      </c>
      <c r="D323" s="31" t="str">
        <f>D321</f>
        <v>grZ.m.</v>
      </c>
      <c r="E323" s="24">
        <v>1</v>
      </c>
      <c r="F323" s="54">
        <f>F321*E323</f>
        <v>8</v>
      </c>
      <c r="G323" s="30">
        <f>120*1.75/1.18-I322</f>
        <v>152.96610169491527</v>
      </c>
      <c r="H323" s="22">
        <f>G323*F323</f>
        <v>1223.7288135593221</v>
      </c>
      <c r="I323" s="61"/>
      <c r="J323" s="40">
        <f>I323*F323</f>
        <v>0</v>
      </c>
      <c r="K323" s="30">
        <f>G323*0.03</f>
        <v>4.588983050847458</v>
      </c>
      <c r="L323" s="40">
        <f>K323*F323</f>
        <v>36.71186440677966</v>
      </c>
      <c r="M323" s="200">
        <f>G323+I323+K323</f>
        <v>157.5550847457627</v>
      </c>
      <c r="N323" s="22">
        <f>L323+J323+H323</f>
        <v>1260.4406779661017</v>
      </c>
    </row>
    <row r="324" spans="1:14" s="16" customFormat="1" ht="31.5">
      <c r="A324" s="59">
        <f>A321+1</f>
        <v>61</v>
      </c>
      <c r="B324" s="80" t="s">
        <v>94</v>
      </c>
      <c r="C324" s="14" t="s">
        <v>212</v>
      </c>
      <c r="D324" s="14" t="s">
        <v>5</v>
      </c>
      <c r="E324" s="30"/>
      <c r="F324" s="199">
        <f>32+24.5+12</f>
        <v>68.5</v>
      </c>
      <c r="G324" s="36"/>
      <c r="H324" s="36"/>
      <c r="I324" s="47"/>
      <c r="J324" s="49"/>
      <c r="K324" s="47"/>
      <c r="L324" s="49"/>
      <c r="M324" s="212"/>
      <c r="N324" s="22"/>
    </row>
    <row r="325" spans="1:14" s="19" customFormat="1" ht="15.75">
      <c r="A325" s="116"/>
      <c r="B325" s="10"/>
      <c r="C325" s="31" t="s">
        <v>12</v>
      </c>
      <c r="D325" s="31" t="str">
        <f>D324</f>
        <v>grZ.m.</v>
      </c>
      <c r="E325" s="24">
        <v>1</v>
      </c>
      <c r="F325" s="54">
        <f>F324*E325</f>
        <v>68.5</v>
      </c>
      <c r="G325" s="30">
        <v>0</v>
      </c>
      <c r="H325" s="22">
        <f>G325*F325</f>
        <v>0</v>
      </c>
      <c r="I325" s="12">
        <v>25</v>
      </c>
      <c r="J325" s="40">
        <f>I325*F325</f>
        <v>1712.5</v>
      </c>
      <c r="K325" s="30">
        <f>G325*0.03</f>
        <v>0</v>
      </c>
      <c r="L325" s="40">
        <f>K325*F325</f>
        <v>0</v>
      </c>
      <c r="M325" s="200">
        <f>G325+I325+K325</f>
        <v>25</v>
      </c>
      <c r="N325" s="22">
        <f>L325+J325+H325</f>
        <v>1712.5</v>
      </c>
    </row>
    <row r="326" spans="1:14" s="19" customFormat="1" ht="15.75">
      <c r="A326" s="116"/>
      <c r="B326" s="10"/>
      <c r="C326" s="31" t="s">
        <v>207</v>
      </c>
      <c r="D326" s="31" t="str">
        <f>D324</f>
        <v>grZ.m.</v>
      </c>
      <c r="E326" s="24">
        <v>1</v>
      </c>
      <c r="F326" s="54">
        <f>F324*E326</f>
        <v>68.5</v>
      </c>
      <c r="G326" s="30">
        <f>100/1.18-I325</f>
        <v>59.745762711864415</v>
      </c>
      <c r="H326" s="22">
        <f>G326*F326</f>
        <v>4092.5847457627124</v>
      </c>
      <c r="I326" s="61"/>
      <c r="J326" s="40">
        <f>I326*F326</f>
        <v>0</v>
      </c>
      <c r="K326" s="30">
        <f>G326*0.03</f>
        <v>1.7923728813559323</v>
      </c>
      <c r="L326" s="40">
        <f>K326*F326</f>
        <v>122.77754237288136</v>
      </c>
      <c r="M326" s="200">
        <f>G326+I326+K326</f>
        <v>61.538135593220346</v>
      </c>
      <c r="N326" s="22">
        <f>L326+J326+H326</f>
        <v>4215.362288135594</v>
      </c>
    </row>
    <row r="327" spans="1:16" s="39" customFormat="1" ht="21" customHeight="1">
      <c r="A327" s="59">
        <f>A324+1</f>
        <v>62</v>
      </c>
      <c r="B327" s="80" t="s">
        <v>73</v>
      </c>
      <c r="C327" s="14" t="s">
        <v>69</v>
      </c>
      <c r="D327" s="116" t="s">
        <v>153</v>
      </c>
      <c r="E327" s="36"/>
      <c r="F327" s="60">
        <f>F297++F284</f>
        <v>311.53999999999996</v>
      </c>
      <c r="G327" s="30"/>
      <c r="H327" s="22"/>
      <c r="I327" s="61"/>
      <c r="J327" s="40"/>
      <c r="K327" s="30"/>
      <c r="L327" s="40"/>
      <c r="M327" s="200"/>
      <c r="N327" s="22"/>
      <c r="O327" s="19"/>
      <c r="P327" s="19"/>
    </row>
    <row r="328" spans="1:16" s="39" customFormat="1" ht="15" customHeight="1">
      <c r="A328" s="116"/>
      <c r="B328" s="10"/>
      <c r="C328" s="31" t="s">
        <v>12</v>
      </c>
      <c r="D328" s="20" t="s">
        <v>192</v>
      </c>
      <c r="E328" s="24">
        <v>1</v>
      </c>
      <c r="F328" s="56">
        <f>F327*E328</f>
        <v>311.53999999999996</v>
      </c>
      <c r="G328" s="30">
        <v>0</v>
      </c>
      <c r="H328" s="22">
        <f>G328*F328</f>
        <v>0</v>
      </c>
      <c r="I328" s="45">
        <v>1</v>
      </c>
      <c r="J328" s="40">
        <f>I328*F328</f>
        <v>311.53999999999996</v>
      </c>
      <c r="K328" s="30">
        <f>G328*0.03</f>
        <v>0</v>
      </c>
      <c r="L328" s="40">
        <f>K328*F328</f>
        <v>0</v>
      </c>
      <c r="M328" s="200">
        <f>G328+I328+K328</f>
        <v>1</v>
      </c>
      <c r="N328" s="22">
        <f>L328+J328+H328</f>
        <v>311.53999999999996</v>
      </c>
      <c r="O328" s="19"/>
      <c r="P328" s="19"/>
    </row>
    <row r="329" spans="1:16" s="39" customFormat="1" ht="15" customHeight="1">
      <c r="A329" s="116"/>
      <c r="B329" s="10"/>
      <c r="C329" s="31" t="s">
        <v>74</v>
      </c>
      <c r="D329" s="31" t="s">
        <v>5</v>
      </c>
      <c r="E329" s="24" t="s">
        <v>14</v>
      </c>
      <c r="F329" s="56">
        <f>4*6</f>
        <v>24</v>
      </c>
      <c r="G329" s="22">
        <f>11/1.18</f>
        <v>9.322033898305085</v>
      </c>
      <c r="H329" s="22">
        <f>G329*F329</f>
        <v>223.72881355932202</v>
      </c>
      <c r="I329" s="61"/>
      <c r="J329" s="40">
        <f>I329*F329</f>
        <v>0</v>
      </c>
      <c r="K329" s="30">
        <f>G329*0.03</f>
        <v>0.2796610169491525</v>
      </c>
      <c r="L329" s="40">
        <f>K329*F329</f>
        <v>6.711864406779661</v>
      </c>
      <c r="M329" s="200">
        <f>G329+I329+K329</f>
        <v>9.601694915254237</v>
      </c>
      <c r="N329" s="22">
        <f>L329+J329+H329</f>
        <v>230.44067796610167</v>
      </c>
      <c r="O329" s="19"/>
      <c r="P329" s="19"/>
    </row>
    <row r="330" spans="1:16" s="39" customFormat="1" ht="15" customHeight="1">
      <c r="A330" s="116"/>
      <c r="B330" s="10"/>
      <c r="C330" s="31" t="s">
        <v>70</v>
      </c>
      <c r="D330" s="31" t="s">
        <v>5</v>
      </c>
      <c r="E330" s="24" t="s">
        <v>14</v>
      </c>
      <c r="F330" s="56">
        <v>90</v>
      </c>
      <c r="G330" s="22">
        <f>7.5/1.18</f>
        <v>6.3559322033898304</v>
      </c>
      <c r="H330" s="22">
        <f>G330*F330</f>
        <v>572.0338983050848</v>
      </c>
      <c r="I330" s="61"/>
      <c r="J330" s="40">
        <f>I330*F330</f>
        <v>0</v>
      </c>
      <c r="K330" s="30">
        <f>G330*0.03</f>
        <v>0.1906779661016949</v>
      </c>
      <c r="L330" s="40">
        <f>K330*F330</f>
        <v>17.161016949152543</v>
      </c>
      <c r="M330" s="200">
        <f>G330+I330+K330</f>
        <v>6.546610169491525</v>
      </c>
      <c r="N330" s="22">
        <f>L330+J330+H330</f>
        <v>589.1949152542373</v>
      </c>
      <c r="O330" s="19"/>
      <c r="P330" s="19"/>
    </row>
    <row r="331" spans="1:16" s="39" customFormat="1" ht="15" customHeight="1">
      <c r="A331" s="116"/>
      <c r="B331" s="10"/>
      <c r="C331" s="31" t="s">
        <v>71</v>
      </c>
      <c r="D331" s="31" t="s">
        <v>10</v>
      </c>
      <c r="E331" s="24" t="s">
        <v>14</v>
      </c>
      <c r="F331" s="56">
        <v>6</v>
      </c>
      <c r="G331" s="22">
        <v>35</v>
      </c>
      <c r="H331" s="22">
        <f>G331*F331</f>
        <v>210</v>
      </c>
      <c r="I331" s="61"/>
      <c r="J331" s="40">
        <f>I331*F331</f>
        <v>0</v>
      </c>
      <c r="K331" s="30">
        <f>G331*0.03</f>
        <v>1.05</v>
      </c>
      <c r="L331" s="40">
        <f>K331*F331</f>
        <v>6.300000000000001</v>
      </c>
      <c r="M331" s="200">
        <f>G331+I331+K331</f>
        <v>36.05</v>
      </c>
      <c r="N331" s="22">
        <f>L331+J331+H331</f>
        <v>216.3</v>
      </c>
      <c r="O331" s="19"/>
      <c r="P331" s="19"/>
    </row>
    <row r="332" spans="1:16" s="39" customFormat="1" ht="15" customHeight="1">
      <c r="A332" s="116"/>
      <c r="B332" s="10"/>
      <c r="C332" s="31" t="s">
        <v>72</v>
      </c>
      <c r="D332" s="31" t="s">
        <v>10</v>
      </c>
      <c r="E332" s="24" t="s">
        <v>14</v>
      </c>
      <c r="F332" s="56">
        <f>F331*2</f>
        <v>12</v>
      </c>
      <c r="G332" s="22">
        <v>3</v>
      </c>
      <c r="H332" s="22">
        <f>G332*F332</f>
        <v>36</v>
      </c>
      <c r="I332" s="61"/>
      <c r="J332" s="40">
        <f>I332*F332</f>
        <v>0</v>
      </c>
      <c r="K332" s="30">
        <f>G332*0.03</f>
        <v>0.09</v>
      </c>
      <c r="L332" s="40">
        <f>K332*F332</f>
        <v>1.08</v>
      </c>
      <c r="M332" s="200">
        <f>G332+I332+K332</f>
        <v>3.09</v>
      </c>
      <c r="N332" s="22">
        <f>L332+J332+H332</f>
        <v>37.08</v>
      </c>
      <c r="O332" s="19"/>
      <c r="P332" s="19"/>
    </row>
    <row r="333" spans="1:14" s="16" customFormat="1" ht="21" customHeight="1">
      <c r="A333" s="59">
        <f>A327+1</f>
        <v>63</v>
      </c>
      <c r="B333" s="80" t="s">
        <v>94</v>
      </c>
      <c r="C333" s="14" t="s">
        <v>191</v>
      </c>
      <c r="D333" s="116" t="s">
        <v>153</v>
      </c>
      <c r="E333" s="30"/>
      <c r="F333" s="199">
        <f>F327</f>
        <v>311.53999999999996</v>
      </c>
      <c r="G333" s="36"/>
      <c r="H333" s="36"/>
      <c r="I333" s="47"/>
      <c r="J333" s="49"/>
      <c r="K333" s="47"/>
      <c r="L333" s="49"/>
      <c r="M333" s="212"/>
      <c r="N333" s="22"/>
    </row>
    <row r="334" spans="1:14" s="19" customFormat="1" ht="18">
      <c r="A334" s="116"/>
      <c r="B334" s="10"/>
      <c r="C334" s="31" t="s">
        <v>12</v>
      </c>
      <c r="D334" s="20" t="s">
        <v>192</v>
      </c>
      <c r="E334" s="24">
        <v>1</v>
      </c>
      <c r="F334" s="51">
        <f>F333*E334</f>
        <v>311.53999999999996</v>
      </c>
      <c r="G334" s="30">
        <v>0</v>
      </c>
      <c r="H334" s="22">
        <f>G334*F334</f>
        <v>0</v>
      </c>
      <c r="I334" s="73">
        <f>2.5</f>
        <v>2.5</v>
      </c>
      <c r="J334" s="40">
        <f>I334*F334</f>
        <v>778.8499999999999</v>
      </c>
      <c r="K334" s="30">
        <f>G334*0.03</f>
        <v>0</v>
      </c>
      <c r="L334" s="40">
        <f>K334*F334</f>
        <v>0</v>
      </c>
      <c r="M334" s="200">
        <f>G334+I334+K334</f>
        <v>2.5</v>
      </c>
      <c r="N334" s="22">
        <f>L334+J334+H334</f>
        <v>778.8499999999999</v>
      </c>
    </row>
    <row r="335" spans="1:16" s="39" customFormat="1" ht="15" customHeight="1">
      <c r="A335" s="116"/>
      <c r="B335" s="10"/>
      <c r="C335" s="112"/>
      <c r="D335" s="32"/>
      <c r="E335" s="31"/>
      <c r="F335" s="31"/>
      <c r="G335" s="24"/>
      <c r="H335" s="24"/>
      <c r="I335" s="24"/>
      <c r="J335" s="24"/>
      <c r="K335" s="24"/>
      <c r="L335" s="24"/>
      <c r="M335" s="201"/>
      <c r="N335" s="12"/>
      <c r="O335" s="52"/>
      <c r="P335" s="52"/>
    </row>
    <row r="336" spans="1:17" s="143" customFormat="1" ht="15" customHeight="1">
      <c r="A336" s="134"/>
      <c r="B336" s="70"/>
      <c r="C336" s="136" t="s">
        <v>29</v>
      </c>
      <c r="D336" s="134"/>
      <c r="E336" s="135"/>
      <c r="F336" s="134"/>
      <c r="G336" s="137"/>
      <c r="H336" s="138">
        <f>SUM(H10:H335)</f>
        <v>227138.15275863436</v>
      </c>
      <c r="I336" s="139"/>
      <c r="J336" s="138">
        <f>SUM(J10:J335)</f>
        <v>81632.258303</v>
      </c>
      <c r="K336" s="139"/>
      <c r="L336" s="138">
        <f>SUM(L10:L335)</f>
        <v>17104.193110250566</v>
      </c>
      <c r="M336" s="217"/>
      <c r="N336" s="138">
        <f>SUM(N10:N335)</f>
        <v>325874.60417188465</v>
      </c>
      <c r="O336" s="140"/>
      <c r="P336" s="141"/>
      <c r="Q336" s="142"/>
    </row>
    <row r="337" spans="1:14" ht="12" customHeight="1">
      <c r="A337" s="144"/>
      <c r="B337" s="81"/>
      <c r="C337" s="146"/>
      <c r="D337" s="146"/>
      <c r="E337" s="145"/>
      <c r="F337" s="146"/>
      <c r="G337" s="146"/>
      <c r="H337" s="147"/>
      <c r="I337" s="147"/>
      <c r="J337" s="147"/>
      <c r="K337" s="147"/>
      <c r="L337" s="147"/>
      <c r="M337" s="218"/>
      <c r="N337" s="148"/>
    </row>
    <row r="338" spans="1:17" s="52" customFormat="1" ht="18" customHeight="1" thickBot="1">
      <c r="A338" s="124"/>
      <c r="B338" s="8"/>
      <c r="C338" s="124"/>
      <c r="D338" s="124"/>
      <c r="E338" s="125"/>
      <c r="F338" s="124"/>
      <c r="G338" s="149"/>
      <c r="H338" s="150"/>
      <c r="I338" s="151"/>
      <c r="J338" s="152"/>
      <c r="K338" s="151"/>
      <c r="L338" s="152"/>
      <c r="M338" s="219"/>
      <c r="N338" s="153"/>
      <c r="P338" s="125"/>
      <c r="Q338" s="125"/>
    </row>
    <row r="339" spans="1:17" s="161" customFormat="1" ht="14.25" customHeight="1">
      <c r="A339" s="154"/>
      <c r="B339" s="71"/>
      <c r="C339" s="156" t="s">
        <v>7</v>
      </c>
      <c r="D339" s="156"/>
      <c r="E339" s="155"/>
      <c r="F339" s="156"/>
      <c r="G339" s="156"/>
      <c r="H339" s="157">
        <f>H336</f>
        <v>227138.15275863436</v>
      </c>
      <c r="I339" s="157"/>
      <c r="J339" s="157">
        <f>J336</f>
        <v>81632.258303</v>
      </c>
      <c r="K339" s="157"/>
      <c r="L339" s="157">
        <f>L336</f>
        <v>17104.193110250566</v>
      </c>
      <c r="M339" s="220"/>
      <c r="N339" s="157">
        <f>N336</f>
        <v>325874.60417188465</v>
      </c>
      <c r="O339" s="158"/>
      <c r="P339" s="159"/>
      <c r="Q339" s="160"/>
    </row>
    <row r="340" spans="1:17" s="52" customFormat="1" ht="15" customHeight="1">
      <c r="A340" s="162"/>
      <c r="B340" s="1"/>
      <c r="C340" s="20" t="s">
        <v>13</v>
      </c>
      <c r="D340" s="163">
        <v>0.08</v>
      </c>
      <c r="E340" s="12"/>
      <c r="F340" s="163"/>
      <c r="G340" s="20"/>
      <c r="H340" s="164"/>
      <c r="I340" s="165"/>
      <c r="J340" s="165"/>
      <c r="K340" s="165"/>
      <c r="L340" s="165"/>
      <c r="M340" s="221"/>
      <c r="N340" s="166">
        <f>N339*D340</f>
        <v>26069.968333750774</v>
      </c>
      <c r="O340" s="153"/>
      <c r="P340" s="125"/>
      <c r="Q340" s="125"/>
    </row>
    <row r="341" spans="1:17" s="50" customFormat="1" ht="15" customHeight="1">
      <c r="A341" s="162"/>
      <c r="B341" s="1"/>
      <c r="C341" s="20" t="s">
        <v>7</v>
      </c>
      <c r="D341" s="11"/>
      <c r="E341" s="12"/>
      <c r="F341" s="11"/>
      <c r="G341" s="14"/>
      <c r="H341" s="167"/>
      <c r="I341" s="168"/>
      <c r="J341" s="168"/>
      <c r="K341" s="168"/>
      <c r="L341" s="168"/>
      <c r="M341" s="222"/>
      <c r="N341" s="166">
        <f>SUM(N339:N340)</f>
        <v>351944.57250563544</v>
      </c>
      <c r="P341" s="124"/>
      <c r="Q341" s="124"/>
    </row>
    <row r="342" spans="1:14" s="52" customFormat="1" ht="15.75" customHeight="1">
      <c r="A342" s="162"/>
      <c r="B342" s="1"/>
      <c r="C342" s="20" t="s">
        <v>9</v>
      </c>
      <c r="D342" s="163">
        <v>0.07</v>
      </c>
      <c r="E342" s="12"/>
      <c r="F342" s="163"/>
      <c r="G342" s="20"/>
      <c r="H342" s="164"/>
      <c r="I342" s="165"/>
      <c r="J342" s="165"/>
      <c r="K342" s="165"/>
      <c r="L342" s="165"/>
      <c r="M342" s="221"/>
      <c r="N342" s="166">
        <f>N341*D342</f>
        <v>24636.120075394483</v>
      </c>
    </row>
    <row r="343" spans="1:14" s="50" customFormat="1" ht="15" customHeight="1">
      <c r="A343" s="162"/>
      <c r="B343" s="1"/>
      <c r="C343" s="20" t="s">
        <v>7</v>
      </c>
      <c r="D343" s="11"/>
      <c r="E343" s="12"/>
      <c r="F343" s="11"/>
      <c r="G343" s="14"/>
      <c r="H343" s="167"/>
      <c r="I343" s="168"/>
      <c r="J343" s="168"/>
      <c r="K343" s="168"/>
      <c r="L343" s="168"/>
      <c r="M343" s="222"/>
      <c r="N343" s="166">
        <f>SUM(N341:N342)</f>
        <v>376580.6925810299</v>
      </c>
    </row>
    <row r="344" spans="1:14" s="52" customFormat="1" ht="15" customHeight="1">
      <c r="A344" s="162"/>
      <c r="B344" s="1"/>
      <c r="C344" s="20" t="s">
        <v>61</v>
      </c>
      <c r="D344" s="163">
        <v>0.03</v>
      </c>
      <c r="E344" s="12"/>
      <c r="F344" s="163"/>
      <c r="G344" s="20"/>
      <c r="H344" s="164"/>
      <c r="I344" s="165"/>
      <c r="J344" s="165"/>
      <c r="K344" s="165"/>
      <c r="L344" s="165"/>
      <c r="M344" s="221"/>
      <c r="N344" s="166">
        <f>N343*D344</f>
        <v>11297.420777430896</v>
      </c>
    </row>
    <row r="345" spans="1:14" s="50" customFormat="1" ht="15" customHeight="1">
      <c r="A345" s="162"/>
      <c r="B345" s="1"/>
      <c r="C345" s="14" t="s">
        <v>7</v>
      </c>
      <c r="D345" s="11"/>
      <c r="E345" s="12"/>
      <c r="F345" s="11"/>
      <c r="G345" s="14"/>
      <c r="H345" s="167"/>
      <c r="I345" s="168"/>
      <c r="J345" s="168"/>
      <c r="K345" s="168"/>
      <c r="L345" s="168"/>
      <c r="M345" s="222"/>
      <c r="N345" s="169">
        <f>SUM(N343:N344)</f>
        <v>387878.1133584608</v>
      </c>
    </row>
    <row r="346" spans="1:14" s="52" customFormat="1" ht="15.75" customHeight="1">
      <c r="A346" s="162"/>
      <c r="B346" s="1"/>
      <c r="C346" s="20" t="s">
        <v>62</v>
      </c>
      <c r="D346" s="163">
        <v>0.18</v>
      </c>
      <c r="E346" s="12"/>
      <c r="F346" s="163"/>
      <c r="G346" s="20"/>
      <c r="H346" s="164"/>
      <c r="I346" s="165"/>
      <c r="J346" s="165"/>
      <c r="K346" s="165"/>
      <c r="L346" s="165"/>
      <c r="M346" s="221"/>
      <c r="N346" s="166">
        <f>N345*D346</f>
        <v>69818.06040452294</v>
      </c>
    </row>
    <row r="347" spans="1:14" s="161" customFormat="1" ht="15" customHeight="1" thickBot="1">
      <c r="A347" s="170"/>
      <c r="B347" s="72"/>
      <c r="C347" s="172" t="s">
        <v>8</v>
      </c>
      <c r="D347" s="172"/>
      <c r="E347" s="171"/>
      <c r="F347" s="172"/>
      <c r="G347" s="172"/>
      <c r="H347" s="173"/>
      <c r="I347" s="173"/>
      <c r="J347" s="173"/>
      <c r="K347" s="173"/>
      <c r="L347" s="173"/>
      <c r="M347" s="223"/>
      <c r="N347" s="174">
        <f>SUM(N345:N346)</f>
        <v>457696.1737629837</v>
      </c>
    </row>
    <row r="348" spans="1:13" ht="15">
      <c r="A348" s="175"/>
      <c r="B348" s="82"/>
      <c r="C348" s="177"/>
      <c r="D348" s="177"/>
      <c r="E348" s="176"/>
      <c r="F348" s="177"/>
      <c r="G348" s="178"/>
      <c r="H348" s="178"/>
      <c r="I348" s="179"/>
      <c r="J348" s="177"/>
      <c r="K348" s="179"/>
      <c r="L348" s="177"/>
      <c r="M348" s="224"/>
    </row>
    <row r="349" spans="1:13" ht="15">
      <c r="A349" s="175"/>
      <c r="B349" s="82"/>
      <c r="C349" s="177"/>
      <c r="D349" s="177"/>
      <c r="E349" s="176"/>
      <c r="F349" s="177"/>
      <c r="G349" s="178"/>
      <c r="H349" s="178"/>
      <c r="I349" s="179"/>
      <c r="J349" s="177"/>
      <c r="K349" s="179"/>
      <c r="L349" s="177"/>
      <c r="M349" s="224"/>
    </row>
    <row r="350" spans="1:13" ht="15">
      <c r="A350" s="175"/>
      <c r="B350" s="82"/>
      <c r="C350" s="177"/>
      <c r="D350" s="177"/>
      <c r="E350" s="176"/>
      <c r="F350" s="177"/>
      <c r="G350" s="178"/>
      <c r="H350" s="178"/>
      <c r="I350" s="179"/>
      <c r="J350" s="177"/>
      <c r="K350" s="179"/>
      <c r="L350" s="177"/>
      <c r="M350" s="224"/>
    </row>
    <row r="351" spans="1:13" ht="15">
      <c r="A351" s="175"/>
      <c r="B351" s="82"/>
      <c r="C351" s="177"/>
      <c r="D351" s="177"/>
      <c r="E351" s="176"/>
      <c r="F351" s="177"/>
      <c r="G351" s="178"/>
      <c r="H351" s="178"/>
      <c r="I351" s="179"/>
      <c r="J351" s="177"/>
      <c r="K351" s="179"/>
      <c r="L351" s="177"/>
      <c r="M351" s="224"/>
    </row>
    <row r="352" spans="2:14" s="181" customFormat="1" ht="18" customHeight="1">
      <c r="B352" s="21"/>
      <c r="C352" s="181" t="s">
        <v>11</v>
      </c>
      <c r="E352" s="121"/>
      <c r="G352" s="298" t="s">
        <v>24</v>
      </c>
      <c r="H352" s="298"/>
      <c r="I352" s="298"/>
      <c r="M352" s="225"/>
      <c r="N352" s="182"/>
    </row>
    <row r="353" spans="1:13" ht="15">
      <c r="A353" s="175"/>
      <c r="B353" s="82"/>
      <c r="C353" s="177"/>
      <c r="D353" s="177"/>
      <c r="E353" s="176"/>
      <c r="F353" s="177"/>
      <c r="G353" s="178"/>
      <c r="H353" s="178"/>
      <c r="I353" s="179"/>
      <c r="J353" s="177"/>
      <c r="K353" s="179"/>
      <c r="L353" s="177"/>
      <c r="M353" s="224"/>
    </row>
    <row r="354" spans="1:13" ht="15">
      <c r="A354" s="175"/>
      <c r="B354" s="82"/>
      <c r="C354" s="177"/>
      <c r="D354" s="177"/>
      <c r="E354" s="176"/>
      <c r="F354" s="177"/>
      <c r="G354" s="178"/>
      <c r="H354" s="178"/>
      <c r="I354" s="179"/>
      <c r="J354" s="177"/>
      <c r="K354" s="179"/>
      <c r="L354" s="177"/>
      <c r="M354" s="224"/>
    </row>
    <row r="355" spans="1:15" ht="15">
      <c r="A355" s="175"/>
      <c r="B355" s="82"/>
      <c r="C355" s="177"/>
      <c r="D355" s="177"/>
      <c r="E355" s="176"/>
      <c r="F355" s="177"/>
      <c r="G355" s="178"/>
      <c r="H355" s="178"/>
      <c r="I355" s="179"/>
      <c r="J355" s="183"/>
      <c r="K355" s="179"/>
      <c r="L355" s="177"/>
      <c r="M355" s="224"/>
      <c r="N355" s="184">
        <v>230</v>
      </c>
      <c r="O355" s="79" t="s">
        <v>35</v>
      </c>
    </row>
    <row r="356" spans="1:13" ht="15">
      <c r="A356" s="175"/>
      <c r="B356" s="82"/>
      <c r="C356" s="177"/>
      <c r="D356" s="177"/>
      <c r="E356" s="176"/>
      <c r="F356" s="177"/>
      <c r="G356" s="178"/>
      <c r="H356" s="178"/>
      <c r="I356" s="179"/>
      <c r="J356" s="177"/>
      <c r="K356" s="179"/>
      <c r="L356" s="177"/>
      <c r="M356" s="224"/>
    </row>
    <row r="357" spans="1:15" ht="15">
      <c r="A357" s="175"/>
      <c r="B357" s="82"/>
      <c r="C357" s="177"/>
      <c r="D357" s="177"/>
      <c r="E357" s="176"/>
      <c r="F357" s="177"/>
      <c r="G357" s="178"/>
      <c r="H357" s="178"/>
      <c r="I357" s="179"/>
      <c r="J357" s="177"/>
      <c r="K357" s="179"/>
      <c r="L357" s="177"/>
      <c r="M357" s="224"/>
      <c r="N357" s="184">
        <f>N347/N355</f>
        <v>1989.9833641868856</v>
      </c>
      <c r="O357" s="79" t="s">
        <v>59</v>
      </c>
    </row>
    <row r="358" spans="1:13" ht="15">
      <c r="A358" s="175"/>
      <c r="B358" s="82"/>
      <c r="C358" s="177"/>
      <c r="D358" s="177"/>
      <c r="E358" s="176"/>
      <c r="F358" s="177"/>
      <c r="G358" s="178"/>
      <c r="H358" s="178"/>
      <c r="I358" s="179"/>
      <c r="J358" s="177"/>
      <c r="K358" s="179"/>
      <c r="L358" s="177"/>
      <c r="M358" s="224"/>
    </row>
    <row r="359" spans="1:15" ht="15">
      <c r="A359" s="175"/>
      <c r="B359" s="82"/>
      <c r="C359" s="177"/>
      <c r="D359" s="177"/>
      <c r="E359" s="176"/>
      <c r="F359" s="177"/>
      <c r="G359" s="178"/>
      <c r="H359" s="178"/>
      <c r="I359" s="179"/>
      <c r="J359" s="177"/>
      <c r="K359" s="179"/>
      <c r="L359" s="177"/>
      <c r="M359" s="224"/>
      <c r="N359" s="185">
        <f>N357/1.75</f>
        <v>1137.1333509639346</v>
      </c>
      <c r="O359" s="79" t="s">
        <v>60</v>
      </c>
    </row>
    <row r="360" spans="1:13" ht="15">
      <c r="A360" s="175"/>
      <c r="B360" s="82"/>
      <c r="C360" s="177"/>
      <c r="D360" s="177"/>
      <c r="E360" s="176"/>
      <c r="F360" s="177"/>
      <c r="G360" s="178"/>
      <c r="H360" s="178"/>
      <c r="I360" s="179"/>
      <c r="J360" s="177"/>
      <c r="K360" s="179"/>
      <c r="L360" s="177"/>
      <c r="M360" s="224"/>
    </row>
    <row r="361" spans="1:13" ht="15">
      <c r="A361" s="175"/>
      <c r="B361" s="82"/>
      <c r="C361" s="177"/>
      <c r="D361" s="177"/>
      <c r="E361" s="176"/>
      <c r="F361" s="177"/>
      <c r="G361" s="178"/>
      <c r="H361" s="178"/>
      <c r="I361" s="179"/>
      <c r="J361" s="177"/>
      <c r="K361" s="179"/>
      <c r="L361" s="177"/>
      <c r="M361" s="224"/>
    </row>
    <row r="362" spans="1:13" ht="15">
      <c r="A362" s="175"/>
      <c r="B362" s="82"/>
      <c r="C362" s="177"/>
      <c r="D362" s="177"/>
      <c r="E362" s="176"/>
      <c r="F362" s="177"/>
      <c r="G362" s="178"/>
      <c r="H362" s="178"/>
      <c r="I362" s="179"/>
      <c r="J362" s="177"/>
      <c r="K362" s="179"/>
      <c r="L362" s="177"/>
      <c r="M362" s="224"/>
    </row>
    <row r="363" spans="1:13" ht="15">
      <c r="A363" s="175"/>
      <c r="B363" s="82"/>
      <c r="C363" s="177"/>
      <c r="D363" s="177"/>
      <c r="E363" s="176"/>
      <c r="F363" s="177"/>
      <c r="G363" s="178"/>
      <c r="H363" s="178"/>
      <c r="I363" s="179"/>
      <c r="J363" s="177"/>
      <c r="K363" s="179"/>
      <c r="L363" s="177"/>
      <c r="M363" s="224"/>
    </row>
    <row r="364" spans="1:13" ht="15">
      <c r="A364" s="175"/>
      <c r="B364" s="82"/>
      <c r="C364" s="177"/>
      <c r="D364" s="177"/>
      <c r="E364" s="176"/>
      <c r="F364" s="177"/>
      <c r="G364" s="178"/>
      <c r="H364" s="178"/>
      <c r="I364" s="179"/>
      <c r="J364" s="177"/>
      <c r="K364" s="179"/>
      <c r="L364" s="177"/>
      <c r="M364" s="224"/>
    </row>
    <row r="365" spans="1:13" ht="15">
      <c r="A365" s="175"/>
      <c r="B365" s="82"/>
      <c r="C365" s="177"/>
      <c r="D365" s="177"/>
      <c r="E365" s="176"/>
      <c r="F365" s="177"/>
      <c r="G365" s="178"/>
      <c r="H365" s="178"/>
      <c r="I365" s="179"/>
      <c r="J365" s="177"/>
      <c r="K365" s="179"/>
      <c r="L365" s="177"/>
      <c r="M365" s="224"/>
    </row>
    <row r="366" spans="1:13" ht="15">
      <c r="A366" s="175"/>
      <c r="B366" s="82"/>
      <c r="C366" s="177"/>
      <c r="D366" s="177"/>
      <c r="E366" s="176"/>
      <c r="F366" s="177"/>
      <c r="G366" s="178"/>
      <c r="H366" s="178"/>
      <c r="I366" s="179"/>
      <c r="J366" s="177"/>
      <c r="K366" s="179"/>
      <c r="L366" s="177"/>
      <c r="M366" s="224"/>
    </row>
    <row r="367" spans="1:13" ht="15">
      <c r="A367" s="175"/>
      <c r="B367" s="82"/>
      <c r="C367" s="177"/>
      <c r="D367" s="177"/>
      <c r="E367" s="176"/>
      <c r="F367" s="177"/>
      <c r="G367" s="178"/>
      <c r="H367" s="178"/>
      <c r="I367" s="179"/>
      <c r="J367" s="177"/>
      <c r="K367" s="179"/>
      <c r="L367" s="177"/>
      <c r="M367" s="224"/>
    </row>
    <row r="368" spans="1:13" ht="15">
      <c r="A368" s="175"/>
      <c r="B368" s="82"/>
      <c r="C368" s="177"/>
      <c r="D368" s="177"/>
      <c r="E368" s="176"/>
      <c r="F368" s="177"/>
      <c r="G368" s="178"/>
      <c r="H368" s="178"/>
      <c r="I368" s="179"/>
      <c r="J368" s="177"/>
      <c r="K368" s="179"/>
      <c r="L368" s="177"/>
      <c r="M368" s="224"/>
    </row>
    <row r="369" spans="1:13" ht="15">
      <c r="A369" s="175"/>
      <c r="B369" s="82"/>
      <c r="C369" s="177"/>
      <c r="D369" s="177"/>
      <c r="E369" s="176"/>
      <c r="F369" s="177"/>
      <c r="G369" s="178"/>
      <c r="H369" s="178"/>
      <c r="I369" s="179"/>
      <c r="J369" s="177"/>
      <c r="K369" s="179"/>
      <c r="L369" s="177"/>
      <c r="M369" s="224"/>
    </row>
    <row r="370" spans="1:13" ht="15">
      <c r="A370" s="175"/>
      <c r="B370" s="82"/>
      <c r="C370" s="177"/>
      <c r="D370" s="177"/>
      <c r="E370" s="176"/>
      <c r="F370" s="177"/>
      <c r="G370" s="178"/>
      <c r="H370" s="178"/>
      <c r="I370" s="179"/>
      <c r="J370" s="177"/>
      <c r="K370" s="179"/>
      <c r="L370" s="177"/>
      <c r="M370" s="224"/>
    </row>
    <row r="371" spans="1:13" ht="15">
      <c r="A371" s="175"/>
      <c r="B371" s="82"/>
      <c r="C371" s="177"/>
      <c r="D371" s="177"/>
      <c r="E371" s="176"/>
      <c r="F371" s="177"/>
      <c r="G371" s="178"/>
      <c r="H371" s="178"/>
      <c r="I371" s="179"/>
      <c r="J371" s="177"/>
      <c r="K371" s="179"/>
      <c r="L371" s="177"/>
      <c r="M371" s="224"/>
    </row>
    <row r="372" spans="1:13" ht="15">
      <c r="A372" s="175"/>
      <c r="B372" s="82"/>
      <c r="C372" s="177"/>
      <c r="D372" s="177"/>
      <c r="E372" s="176"/>
      <c r="F372" s="177"/>
      <c r="G372" s="178"/>
      <c r="H372" s="178"/>
      <c r="I372" s="179"/>
      <c r="J372" s="177"/>
      <c r="K372" s="179"/>
      <c r="L372" s="177"/>
      <c r="M372" s="224"/>
    </row>
    <row r="373" spans="1:13" ht="15">
      <c r="A373" s="175"/>
      <c r="B373" s="82"/>
      <c r="C373" s="177"/>
      <c r="D373" s="177"/>
      <c r="E373" s="176"/>
      <c r="F373" s="177"/>
      <c r="G373" s="178"/>
      <c r="H373" s="178"/>
      <c r="I373" s="179"/>
      <c r="J373" s="177"/>
      <c r="K373" s="179"/>
      <c r="L373" s="177"/>
      <c r="M373" s="224"/>
    </row>
    <row r="374" spans="1:13" ht="15">
      <c r="A374" s="175"/>
      <c r="B374" s="82"/>
      <c r="C374" s="177"/>
      <c r="D374" s="177"/>
      <c r="E374" s="176"/>
      <c r="F374" s="177"/>
      <c r="G374" s="178"/>
      <c r="H374" s="178"/>
      <c r="I374" s="179"/>
      <c r="J374" s="177"/>
      <c r="K374" s="179"/>
      <c r="L374" s="177"/>
      <c r="M374" s="224"/>
    </row>
    <row r="375" spans="1:13" ht="15">
      <c r="A375" s="175"/>
      <c r="B375" s="82"/>
      <c r="C375" s="177"/>
      <c r="D375" s="177"/>
      <c r="E375" s="176"/>
      <c r="F375" s="177"/>
      <c r="G375" s="178"/>
      <c r="H375" s="178"/>
      <c r="I375" s="179"/>
      <c r="J375" s="177"/>
      <c r="K375" s="179"/>
      <c r="L375" s="177"/>
      <c r="M375" s="224"/>
    </row>
    <row r="376" spans="1:13" ht="15">
      <c r="A376" s="175"/>
      <c r="B376" s="82"/>
      <c r="C376" s="177"/>
      <c r="D376" s="177"/>
      <c r="E376" s="176"/>
      <c r="F376" s="177"/>
      <c r="G376" s="178"/>
      <c r="H376" s="178"/>
      <c r="I376" s="179"/>
      <c r="J376" s="177"/>
      <c r="K376" s="179"/>
      <c r="L376" s="177"/>
      <c r="M376" s="224"/>
    </row>
    <row r="377" spans="1:13" ht="15">
      <c r="A377" s="175"/>
      <c r="B377" s="82"/>
      <c r="C377" s="177"/>
      <c r="D377" s="177"/>
      <c r="E377" s="176"/>
      <c r="F377" s="177"/>
      <c r="G377" s="178"/>
      <c r="H377" s="178"/>
      <c r="I377" s="179"/>
      <c r="J377" s="177"/>
      <c r="K377" s="179"/>
      <c r="L377" s="177"/>
      <c r="M377" s="224"/>
    </row>
    <row r="378" spans="1:13" ht="15">
      <c r="A378" s="175"/>
      <c r="B378" s="82"/>
      <c r="C378" s="177"/>
      <c r="D378" s="177"/>
      <c r="E378" s="176"/>
      <c r="F378" s="177"/>
      <c r="G378" s="178"/>
      <c r="H378" s="178"/>
      <c r="I378" s="179"/>
      <c r="J378" s="177"/>
      <c r="K378" s="179"/>
      <c r="L378" s="177"/>
      <c r="M378" s="224"/>
    </row>
    <row r="379" spans="1:13" ht="15">
      <c r="A379" s="175"/>
      <c r="B379" s="82"/>
      <c r="C379" s="177"/>
      <c r="D379" s="177"/>
      <c r="E379" s="176"/>
      <c r="F379" s="177"/>
      <c r="G379" s="178"/>
      <c r="H379" s="178"/>
      <c r="I379" s="179"/>
      <c r="J379" s="177"/>
      <c r="K379" s="179"/>
      <c r="L379" s="177"/>
      <c r="M379" s="224"/>
    </row>
    <row r="380" spans="1:13" ht="15">
      <c r="A380" s="175"/>
      <c r="B380" s="82"/>
      <c r="C380" s="177"/>
      <c r="D380" s="177"/>
      <c r="E380" s="176"/>
      <c r="F380" s="177"/>
      <c r="G380" s="178"/>
      <c r="H380" s="178"/>
      <c r="I380" s="179"/>
      <c r="J380" s="177"/>
      <c r="K380" s="179"/>
      <c r="L380" s="177"/>
      <c r="M380" s="224"/>
    </row>
    <row r="381" spans="1:13" ht="15">
      <c r="A381" s="175"/>
      <c r="B381" s="82"/>
      <c r="C381" s="177"/>
      <c r="D381" s="177"/>
      <c r="E381" s="176"/>
      <c r="F381" s="177"/>
      <c r="G381" s="178"/>
      <c r="H381" s="178"/>
      <c r="I381" s="179"/>
      <c r="J381" s="177"/>
      <c r="K381" s="179"/>
      <c r="L381" s="177"/>
      <c r="M381" s="224"/>
    </row>
    <row r="382" spans="1:13" ht="15">
      <c r="A382" s="175"/>
      <c r="B382" s="82"/>
      <c r="C382" s="177"/>
      <c r="D382" s="177"/>
      <c r="E382" s="176"/>
      <c r="F382" s="177"/>
      <c r="G382" s="178"/>
      <c r="H382" s="178"/>
      <c r="I382" s="179"/>
      <c r="J382" s="177"/>
      <c r="K382" s="179"/>
      <c r="L382" s="177"/>
      <c r="M382" s="224"/>
    </row>
    <row r="383" spans="1:13" ht="15">
      <c r="A383" s="175"/>
      <c r="B383" s="82"/>
      <c r="C383" s="177"/>
      <c r="D383" s="177"/>
      <c r="E383" s="176"/>
      <c r="F383" s="177"/>
      <c r="G383" s="178"/>
      <c r="H383" s="178"/>
      <c r="I383" s="179"/>
      <c r="J383" s="177"/>
      <c r="K383" s="179"/>
      <c r="L383" s="177"/>
      <c r="M383" s="224"/>
    </row>
    <row r="384" spans="1:13" ht="15">
      <c r="A384" s="175"/>
      <c r="B384" s="82"/>
      <c r="C384" s="177"/>
      <c r="D384" s="177"/>
      <c r="E384" s="176"/>
      <c r="F384" s="177"/>
      <c r="G384" s="178"/>
      <c r="H384" s="178"/>
      <c r="I384" s="179"/>
      <c r="J384" s="177"/>
      <c r="K384" s="179"/>
      <c r="L384" s="177"/>
      <c r="M384" s="224"/>
    </row>
    <row r="385" spans="1:13" ht="15">
      <c r="A385" s="175"/>
      <c r="B385" s="82"/>
      <c r="C385" s="177"/>
      <c r="D385" s="177"/>
      <c r="E385" s="176"/>
      <c r="F385" s="177"/>
      <c r="G385" s="178"/>
      <c r="H385" s="178"/>
      <c r="I385" s="179"/>
      <c r="J385" s="177"/>
      <c r="K385" s="179"/>
      <c r="L385" s="177"/>
      <c r="M385" s="224"/>
    </row>
    <row r="386" spans="1:13" ht="15">
      <c r="A386" s="175"/>
      <c r="B386" s="82"/>
      <c r="C386" s="177"/>
      <c r="D386" s="177"/>
      <c r="E386" s="176"/>
      <c r="F386" s="177"/>
      <c r="G386" s="178"/>
      <c r="H386" s="178"/>
      <c r="I386" s="179"/>
      <c r="J386" s="177"/>
      <c r="K386" s="179"/>
      <c r="L386" s="177"/>
      <c r="M386" s="224"/>
    </row>
    <row r="387" spans="1:13" ht="15">
      <c r="A387" s="175"/>
      <c r="B387" s="82"/>
      <c r="C387" s="177"/>
      <c r="D387" s="177"/>
      <c r="E387" s="176"/>
      <c r="F387" s="177"/>
      <c r="G387" s="178"/>
      <c r="H387" s="178"/>
      <c r="I387" s="179"/>
      <c r="J387" s="177"/>
      <c r="K387" s="179"/>
      <c r="L387" s="177"/>
      <c r="M387" s="224"/>
    </row>
    <row r="388" spans="1:13" ht="15">
      <c r="A388" s="175"/>
      <c r="B388" s="82"/>
      <c r="C388" s="177"/>
      <c r="D388" s="177"/>
      <c r="E388" s="176"/>
      <c r="F388" s="177"/>
      <c r="G388" s="178"/>
      <c r="H388" s="178"/>
      <c r="I388" s="179"/>
      <c r="J388" s="177"/>
      <c r="K388" s="179"/>
      <c r="L388" s="177"/>
      <c r="M388" s="224"/>
    </row>
    <row r="389" spans="1:13" ht="15">
      <c r="A389" s="175"/>
      <c r="B389" s="82"/>
      <c r="C389" s="177"/>
      <c r="D389" s="177"/>
      <c r="E389" s="176"/>
      <c r="F389" s="177"/>
      <c r="G389" s="178"/>
      <c r="H389" s="178"/>
      <c r="I389" s="179"/>
      <c r="J389" s="177"/>
      <c r="K389" s="179"/>
      <c r="L389" s="177"/>
      <c r="M389" s="224"/>
    </row>
    <row r="390" spans="1:13" ht="15">
      <c r="A390" s="175"/>
      <c r="B390" s="82"/>
      <c r="C390" s="177"/>
      <c r="D390" s="177"/>
      <c r="E390" s="176"/>
      <c r="F390" s="177"/>
      <c r="G390" s="178"/>
      <c r="H390" s="178"/>
      <c r="I390" s="179"/>
      <c r="J390" s="177"/>
      <c r="K390" s="179"/>
      <c r="L390" s="177"/>
      <c r="M390" s="224"/>
    </row>
    <row r="391" spans="1:13" ht="15">
      <c r="A391" s="175"/>
      <c r="B391" s="82"/>
      <c r="C391" s="177"/>
      <c r="D391" s="177"/>
      <c r="E391" s="176"/>
      <c r="F391" s="177"/>
      <c r="G391" s="178"/>
      <c r="H391" s="178"/>
      <c r="I391" s="179"/>
      <c r="J391" s="177"/>
      <c r="K391" s="179"/>
      <c r="L391" s="177"/>
      <c r="M391" s="224"/>
    </row>
    <row r="392" spans="1:13" ht="15">
      <c r="A392" s="175"/>
      <c r="B392" s="82"/>
      <c r="C392" s="177"/>
      <c r="D392" s="177"/>
      <c r="E392" s="176"/>
      <c r="F392" s="177"/>
      <c r="G392" s="178"/>
      <c r="H392" s="178"/>
      <c r="I392" s="179"/>
      <c r="J392" s="177"/>
      <c r="K392" s="179"/>
      <c r="L392" s="177"/>
      <c r="M392" s="224"/>
    </row>
    <row r="393" spans="1:13" ht="15">
      <c r="A393" s="175"/>
      <c r="B393" s="82"/>
      <c r="C393" s="177"/>
      <c r="D393" s="177"/>
      <c r="E393" s="176"/>
      <c r="F393" s="177"/>
      <c r="G393" s="178"/>
      <c r="H393" s="178"/>
      <c r="I393" s="179"/>
      <c r="J393" s="177"/>
      <c r="K393" s="179"/>
      <c r="L393" s="177"/>
      <c r="M393" s="224"/>
    </row>
    <row r="394" spans="1:13" ht="15">
      <c r="A394" s="175"/>
      <c r="B394" s="82"/>
      <c r="C394" s="177"/>
      <c r="D394" s="177"/>
      <c r="E394" s="176"/>
      <c r="F394" s="177"/>
      <c r="G394" s="178"/>
      <c r="H394" s="178"/>
      <c r="I394" s="179"/>
      <c r="J394" s="177"/>
      <c r="K394" s="179"/>
      <c r="L394" s="177"/>
      <c r="M394" s="224"/>
    </row>
    <row r="395" spans="1:13" ht="15">
      <c r="A395" s="175"/>
      <c r="B395" s="82"/>
      <c r="C395" s="177"/>
      <c r="D395" s="177"/>
      <c r="E395" s="176"/>
      <c r="F395" s="177"/>
      <c r="G395" s="178"/>
      <c r="H395" s="178"/>
      <c r="I395" s="179"/>
      <c r="J395" s="177"/>
      <c r="K395" s="179"/>
      <c r="L395" s="177"/>
      <c r="M395" s="224"/>
    </row>
    <row r="396" spans="1:13" ht="15">
      <c r="A396" s="175"/>
      <c r="B396" s="82"/>
      <c r="C396" s="177"/>
      <c r="D396" s="177"/>
      <c r="E396" s="176"/>
      <c r="F396" s="177"/>
      <c r="G396" s="178"/>
      <c r="H396" s="178"/>
      <c r="I396" s="179"/>
      <c r="J396" s="177"/>
      <c r="K396" s="179"/>
      <c r="L396" s="177"/>
      <c r="M396" s="224"/>
    </row>
    <row r="397" spans="1:13" ht="15">
      <c r="A397" s="175"/>
      <c r="B397" s="82"/>
      <c r="C397" s="177"/>
      <c r="D397" s="177"/>
      <c r="E397" s="176"/>
      <c r="F397" s="177"/>
      <c r="G397" s="178"/>
      <c r="H397" s="178"/>
      <c r="I397" s="179"/>
      <c r="J397" s="177"/>
      <c r="K397" s="179"/>
      <c r="L397" s="177"/>
      <c r="M397" s="224"/>
    </row>
    <row r="398" spans="1:13" ht="15">
      <c r="A398" s="175"/>
      <c r="B398" s="82"/>
      <c r="C398" s="177"/>
      <c r="D398" s="177"/>
      <c r="E398" s="176"/>
      <c r="F398" s="177"/>
      <c r="G398" s="178"/>
      <c r="H398" s="178"/>
      <c r="I398" s="179"/>
      <c r="J398" s="177"/>
      <c r="K398" s="179"/>
      <c r="L398" s="177"/>
      <c r="M398" s="224"/>
    </row>
    <row r="399" spans="1:13" ht="15">
      <c r="A399" s="175"/>
      <c r="B399" s="82"/>
      <c r="C399" s="177"/>
      <c r="D399" s="177"/>
      <c r="E399" s="176"/>
      <c r="F399" s="177"/>
      <c r="G399" s="178"/>
      <c r="H399" s="178"/>
      <c r="I399" s="179"/>
      <c r="J399" s="177"/>
      <c r="K399" s="179"/>
      <c r="L399" s="177"/>
      <c r="M399" s="224"/>
    </row>
    <row r="400" spans="1:13" ht="15">
      <c r="A400" s="175"/>
      <c r="B400" s="82"/>
      <c r="C400" s="177"/>
      <c r="D400" s="177"/>
      <c r="E400" s="176"/>
      <c r="F400" s="177"/>
      <c r="G400" s="178"/>
      <c r="H400" s="178"/>
      <c r="I400" s="179"/>
      <c r="J400" s="177"/>
      <c r="K400" s="179"/>
      <c r="L400" s="177"/>
      <c r="M400" s="224"/>
    </row>
    <row r="401" spans="1:13" ht="15">
      <c r="A401" s="175"/>
      <c r="B401" s="82"/>
      <c r="C401" s="177"/>
      <c r="D401" s="177"/>
      <c r="E401" s="176"/>
      <c r="F401" s="177"/>
      <c r="G401" s="178"/>
      <c r="H401" s="178"/>
      <c r="I401" s="179"/>
      <c r="J401" s="177"/>
      <c r="K401" s="179"/>
      <c r="L401" s="177"/>
      <c r="M401" s="224"/>
    </row>
    <row r="402" spans="1:13" ht="15">
      <c r="A402" s="175"/>
      <c r="B402" s="82"/>
      <c r="C402" s="177"/>
      <c r="D402" s="177"/>
      <c r="E402" s="176"/>
      <c r="F402" s="177"/>
      <c r="G402" s="178"/>
      <c r="H402" s="178"/>
      <c r="I402" s="179"/>
      <c r="J402" s="177"/>
      <c r="K402" s="179"/>
      <c r="L402" s="177"/>
      <c r="M402" s="224"/>
    </row>
    <row r="403" spans="1:13" ht="15">
      <c r="A403" s="175"/>
      <c r="B403" s="82"/>
      <c r="C403" s="177"/>
      <c r="D403" s="177"/>
      <c r="E403" s="176"/>
      <c r="F403" s="177"/>
      <c r="G403" s="178"/>
      <c r="H403" s="178"/>
      <c r="I403" s="179"/>
      <c r="J403" s="177"/>
      <c r="K403" s="179"/>
      <c r="L403" s="177"/>
      <c r="M403" s="224"/>
    </row>
    <row r="404" spans="1:13" ht="15">
      <c r="A404" s="175"/>
      <c r="B404" s="82"/>
      <c r="C404" s="177"/>
      <c r="D404" s="177"/>
      <c r="E404" s="176"/>
      <c r="F404" s="177"/>
      <c r="G404" s="178"/>
      <c r="H404" s="178"/>
      <c r="I404" s="179"/>
      <c r="J404" s="177"/>
      <c r="K404" s="179"/>
      <c r="L404" s="177"/>
      <c r="M404" s="224"/>
    </row>
    <row r="405" spans="1:13" ht="15">
      <c r="A405" s="175"/>
      <c r="B405" s="82"/>
      <c r="C405" s="177"/>
      <c r="D405" s="177"/>
      <c r="E405" s="176"/>
      <c r="F405" s="177"/>
      <c r="G405" s="178"/>
      <c r="H405" s="178"/>
      <c r="I405" s="179"/>
      <c r="J405" s="177"/>
      <c r="K405" s="179"/>
      <c r="L405" s="177"/>
      <c r="M405" s="224"/>
    </row>
    <row r="406" spans="1:13" ht="15">
      <c r="A406" s="175"/>
      <c r="B406" s="82"/>
      <c r="C406" s="177"/>
      <c r="D406" s="177"/>
      <c r="E406" s="176"/>
      <c r="F406" s="177"/>
      <c r="G406" s="178"/>
      <c r="H406" s="178"/>
      <c r="I406" s="179"/>
      <c r="J406" s="177"/>
      <c r="K406" s="179"/>
      <c r="L406" s="177"/>
      <c r="M406" s="224"/>
    </row>
    <row r="407" spans="1:13" ht="15">
      <c r="A407" s="175"/>
      <c r="B407" s="82"/>
      <c r="C407" s="177"/>
      <c r="D407" s="177"/>
      <c r="E407" s="176"/>
      <c r="F407" s="177"/>
      <c r="G407" s="178"/>
      <c r="H407" s="178"/>
      <c r="I407" s="179"/>
      <c r="J407" s="177"/>
      <c r="K407" s="179"/>
      <c r="L407" s="177"/>
      <c r="M407" s="224"/>
    </row>
    <row r="408" spans="1:13" ht="15">
      <c r="A408" s="175"/>
      <c r="B408" s="82"/>
      <c r="C408" s="177"/>
      <c r="D408" s="177"/>
      <c r="E408" s="176"/>
      <c r="F408" s="177"/>
      <c r="G408" s="178"/>
      <c r="H408" s="178"/>
      <c r="I408" s="179"/>
      <c r="J408" s="177"/>
      <c r="K408" s="179"/>
      <c r="L408" s="177"/>
      <c r="M408" s="224"/>
    </row>
    <row r="409" spans="1:13" ht="15">
      <c r="A409" s="175"/>
      <c r="B409" s="82"/>
      <c r="C409" s="177"/>
      <c r="D409" s="177"/>
      <c r="E409" s="176"/>
      <c r="F409" s="177"/>
      <c r="G409" s="178"/>
      <c r="H409" s="178"/>
      <c r="I409" s="179"/>
      <c r="J409" s="177"/>
      <c r="K409" s="179"/>
      <c r="L409" s="177"/>
      <c r="M409" s="224"/>
    </row>
    <row r="410" spans="1:13" ht="15">
      <c r="A410" s="175"/>
      <c r="B410" s="82"/>
      <c r="C410" s="177"/>
      <c r="D410" s="177"/>
      <c r="E410" s="176"/>
      <c r="F410" s="177"/>
      <c r="G410" s="178"/>
      <c r="H410" s="178"/>
      <c r="I410" s="179"/>
      <c r="J410" s="177"/>
      <c r="K410" s="179"/>
      <c r="L410" s="177"/>
      <c r="M410" s="224"/>
    </row>
    <row r="411" spans="1:13" ht="15">
      <c r="A411" s="175"/>
      <c r="B411" s="82"/>
      <c r="C411" s="177"/>
      <c r="D411" s="177"/>
      <c r="E411" s="176"/>
      <c r="F411" s="177"/>
      <c r="G411" s="178"/>
      <c r="H411" s="178"/>
      <c r="I411" s="179"/>
      <c r="J411" s="177"/>
      <c r="K411" s="179"/>
      <c r="L411" s="177"/>
      <c r="M411" s="224"/>
    </row>
    <row r="412" spans="1:13" ht="15">
      <c r="A412" s="175"/>
      <c r="B412" s="82"/>
      <c r="C412" s="177"/>
      <c r="D412" s="177"/>
      <c r="E412" s="176"/>
      <c r="F412" s="177"/>
      <c r="G412" s="178"/>
      <c r="H412" s="178"/>
      <c r="I412" s="179"/>
      <c r="J412" s="177"/>
      <c r="K412" s="179"/>
      <c r="L412" s="177"/>
      <c r="M412" s="224"/>
    </row>
    <row r="413" spans="1:13" ht="15">
      <c r="A413" s="175"/>
      <c r="B413" s="82"/>
      <c r="C413" s="177"/>
      <c r="D413" s="177"/>
      <c r="E413" s="176"/>
      <c r="F413" s="177"/>
      <c r="G413" s="178"/>
      <c r="H413" s="178"/>
      <c r="I413" s="179"/>
      <c r="J413" s="177"/>
      <c r="K413" s="179"/>
      <c r="L413" s="177"/>
      <c r="M413" s="224"/>
    </row>
    <row r="414" spans="1:13" ht="15">
      <c r="A414" s="175"/>
      <c r="B414" s="82"/>
      <c r="C414" s="177"/>
      <c r="D414" s="177"/>
      <c r="E414" s="176"/>
      <c r="F414" s="177"/>
      <c r="G414" s="178"/>
      <c r="H414" s="178"/>
      <c r="I414" s="179"/>
      <c r="J414" s="177"/>
      <c r="K414" s="179"/>
      <c r="L414" s="177"/>
      <c r="M414" s="224"/>
    </row>
    <row r="415" spans="1:13" ht="15">
      <c r="A415" s="175"/>
      <c r="B415" s="82"/>
      <c r="C415" s="177"/>
      <c r="D415" s="177"/>
      <c r="E415" s="176"/>
      <c r="F415" s="177"/>
      <c r="G415" s="178"/>
      <c r="H415" s="178"/>
      <c r="I415" s="179"/>
      <c r="J415" s="177"/>
      <c r="K415" s="179"/>
      <c r="L415" s="177"/>
      <c r="M415" s="224"/>
    </row>
    <row r="416" spans="1:13" ht="15">
      <c r="A416" s="175"/>
      <c r="B416" s="82"/>
      <c r="C416" s="177"/>
      <c r="D416" s="177"/>
      <c r="E416" s="176"/>
      <c r="F416" s="177"/>
      <c r="G416" s="178"/>
      <c r="H416" s="178"/>
      <c r="I416" s="179"/>
      <c r="J416" s="177"/>
      <c r="K416" s="179"/>
      <c r="L416" s="177"/>
      <c r="M416" s="224"/>
    </row>
    <row r="417" spans="1:13" ht="15">
      <c r="A417" s="175"/>
      <c r="B417" s="82"/>
      <c r="C417" s="177"/>
      <c r="D417" s="177"/>
      <c r="E417" s="176"/>
      <c r="F417" s="177"/>
      <c r="G417" s="178"/>
      <c r="H417" s="178"/>
      <c r="I417" s="179"/>
      <c r="J417" s="177"/>
      <c r="K417" s="179"/>
      <c r="L417" s="177"/>
      <c r="M417" s="224"/>
    </row>
    <row r="418" spans="1:13" ht="15">
      <c r="A418" s="175"/>
      <c r="B418" s="82"/>
      <c r="C418" s="177"/>
      <c r="D418" s="177"/>
      <c r="E418" s="176"/>
      <c r="F418" s="177"/>
      <c r="G418" s="178"/>
      <c r="H418" s="178"/>
      <c r="I418" s="179"/>
      <c r="J418" s="177"/>
      <c r="K418" s="179"/>
      <c r="L418" s="177"/>
      <c r="M418" s="224"/>
    </row>
    <row r="419" spans="1:13" ht="15">
      <c r="A419" s="175"/>
      <c r="B419" s="82"/>
      <c r="C419" s="177"/>
      <c r="D419" s="177"/>
      <c r="E419" s="176"/>
      <c r="F419" s="177"/>
      <c r="G419" s="178"/>
      <c r="H419" s="178"/>
      <c r="I419" s="179"/>
      <c r="J419" s="177"/>
      <c r="K419" s="179"/>
      <c r="L419" s="177"/>
      <c r="M419" s="224"/>
    </row>
    <row r="420" spans="1:13" ht="15">
      <c r="A420" s="175"/>
      <c r="B420" s="82"/>
      <c r="C420" s="177"/>
      <c r="D420" s="177"/>
      <c r="E420" s="176"/>
      <c r="F420" s="177"/>
      <c r="G420" s="178"/>
      <c r="H420" s="178"/>
      <c r="I420" s="179"/>
      <c r="J420" s="177"/>
      <c r="K420" s="179"/>
      <c r="L420" s="177"/>
      <c r="M420" s="224"/>
    </row>
    <row r="421" spans="1:13" ht="15">
      <c r="A421" s="175"/>
      <c r="B421" s="82"/>
      <c r="C421" s="177"/>
      <c r="D421" s="177"/>
      <c r="E421" s="176"/>
      <c r="F421" s="177"/>
      <c r="G421" s="178"/>
      <c r="H421" s="178"/>
      <c r="I421" s="179"/>
      <c r="J421" s="177"/>
      <c r="K421" s="179"/>
      <c r="L421" s="177"/>
      <c r="M421" s="224"/>
    </row>
    <row r="422" spans="1:13" ht="15">
      <c r="A422" s="175"/>
      <c r="B422" s="82"/>
      <c r="C422" s="177"/>
      <c r="D422" s="177"/>
      <c r="E422" s="176"/>
      <c r="F422" s="177"/>
      <c r="G422" s="178"/>
      <c r="H422" s="178"/>
      <c r="I422" s="179"/>
      <c r="J422" s="177"/>
      <c r="K422" s="179"/>
      <c r="L422" s="177"/>
      <c r="M422" s="224"/>
    </row>
    <row r="423" spans="1:13" ht="15">
      <c r="A423" s="175"/>
      <c r="B423" s="82"/>
      <c r="C423" s="177"/>
      <c r="D423" s="177"/>
      <c r="E423" s="176"/>
      <c r="F423" s="177"/>
      <c r="G423" s="178"/>
      <c r="H423" s="178"/>
      <c r="I423" s="179"/>
      <c r="J423" s="177"/>
      <c r="K423" s="179"/>
      <c r="L423" s="177"/>
      <c r="M423" s="224"/>
    </row>
    <row r="424" spans="1:13" ht="15">
      <c r="A424" s="175"/>
      <c r="B424" s="82"/>
      <c r="C424" s="177"/>
      <c r="D424" s="177"/>
      <c r="E424" s="176"/>
      <c r="F424" s="177"/>
      <c r="G424" s="178"/>
      <c r="H424" s="178"/>
      <c r="I424" s="179"/>
      <c r="J424" s="177"/>
      <c r="K424" s="179"/>
      <c r="L424" s="177"/>
      <c r="M424" s="224"/>
    </row>
    <row r="425" spans="1:13" ht="15">
      <c r="A425" s="175"/>
      <c r="B425" s="82"/>
      <c r="C425" s="177"/>
      <c r="D425" s="177"/>
      <c r="E425" s="176"/>
      <c r="F425" s="177"/>
      <c r="G425" s="178"/>
      <c r="H425" s="178"/>
      <c r="I425" s="179"/>
      <c r="J425" s="177"/>
      <c r="K425" s="179"/>
      <c r="L425" s="177"/>
      <c r="M425" s="224"/>
    </row>
    <row r="426" spans="1:13" ht="15">
      <c r="A426" s="175"/>
      <c r="B426" s="82"/>
      <c r="C426" s="177"/>
      <c r="D426" s="177"/>
      <c r="E426" s="176"/>
      <c r="F426" s="177"/>
      <c r="G426" s="178"/>
      <c r="H426" s="178"/>
      <c r="I426" s="179"/>
      <c r="J426" s="177"/>
      <c r="K426" s="179"/>
      <c r="L426" s="177"/>
      <c r="M426" s="224"/>
    </row>
    <row r="427" spans="1:13" ht="15">
      <c r="A427" s="175"/>
      <c r="B427" s="82"/>
      <c r="C427" s="177"/>
      <c r="D427" s="177"/>
      <c r="E427" s="176"/>
      <c r="F427" s="177"/>
      <c r="G427" s="178"/>
      <c r="H427" s="178"/>
      <c r="I427" s="179"/>
      <c r="J427" s="177"/>
      <c r="K427" s="179"/>
      <c r="L427" s="177"/>
      <c r="M427" s="224"/>
    </row>
    <row r="428" spans="1:13" ht="15">
      <c r="A428" s="175"/>
      <c r="B428" s="82"/>
      <c r="C428" s="177"/>
      <c r="D428" s="177"/>
      <c r="E428" s="176"/>
      <c r="F428" s="177"/>
      <c r="G428" s="178"/>
      <c r="H428" s="178"/>
      <c r="I428" s="179"/>
      <c r="J428" s="177"/>
      <c r="K428" s="179"/>
      <c r="L428" s="177"/>
      <c r="M428" s="224"/>
    </row>
    <row r="429" spans="1:13" ht="15">
      <c r="A429" s="175"/>
      <c r="B429" s="82"/>
      <c r="C429" s="177"/>
      <c r="D429" s="177"/>
      <c r="E429" s="176"/>
      <c r="F429" s="177"/>
      <c r="G429" s="178"/>
      <c r="H429" s="178"/>
      <c r="I429" s="179"/>
      <c r="J429" s="177"/>
      <c r="K429" s="179"/>
      <c r="L429" s="177"/>
      <c r="M429" s="224"/>
    </row>
    <row r="430" spans="1:13" ht="15">
      <c r="A430" s="175"/>
      <c r="B430" s="82"/>
      <c r="C430" s="177"/>
      <c r="D430" s="177"/>
      <c r="E430" s="176"/>
      <c r="F430" s="177"/>
      <c r="G430" s="178"/>
      <c r="H430" s="178"/>
      <c r="I430" s="179"/>
      <c r="J430" s="177"/>
      <c r="K430" s="179"/>
      <c r="L430" s="177"/>
      <c r="M430" s="224"/>
    </row>
    <row r="431" spans="1:13" ht="15">
      <c r="A431" s="175"/>
      <c r="B431" s="82"/>
      <c r="C431" s="177"/>
      <c r="D431" s="177"/>
      <c r="E431" s="176"/>
      <c r="F431" s="177"/>
      <c r="G431" s="178"/>
      <c r="H431" s="178"/>
      <c r="I431" s="179"/>
      <c r="J431" s="177"/>
      <c r="K431" s="179"/>
      <c r="L431" s="177"/>
      <c r="M431" s="224"/>
    </row>
    <row r="432" spans="1:13" ht="15">
      <c r="A432" s="175"/>
      <c r="B432" s="82"/>
      <c r="C432" s="177"/>
      <c r="D432" s="177"/>
      <c r="E432" s="176"/>
      <c r="F432" s="177"/>
      <c r="G432" s="178"/>
      <c r="H432" s="178"/>
      <c r="I432" s="179"/>
      <c r="J432" s="177"/>
      <c r="K432" s="179"/>
      <c r="L432" s="177"/>
      <c r="M432" s="224"/>
    </row>
    <row r="433" spans="1:13" ht="15">
      <c r="A433" s="175"/>
      <c r="B433" s="82"/>
      <c r="C433" s="177"/>
      <c r="D433" s="177"/>
      <c r="E433" s="176"/>
      <c r="F433" s="177"/>
      <c r="G433" s="178"/>
      <c r="H433" s="178"/>
      <c r="I433" s="179"/>
      <c r="J433" s="177"/>
      <c r="K433" s="179"/>
      <c r="L433" s="177"/>
      <c r="M433" s="224"/>
    </row>
    <row r="434" spans="1:13" ht="15">
      <c r="A434" s="175"/>
      <c r="B434" s="82"/>
      <c r="C434" s="177"/>
      <c r="D434" s="177"/>
      <c r="E434" s="176"/>
      <c r="F434" s="177"/>
      <c r="G434" s="178"/>
      <c r="H434" s="178"/>
      <c r="I434" s="179"/>
      <c r="J434" s="177"/>
      <c r="K434" s="179"/>
      <c r="L434" s="177"/>
      <c r="M434" s="224"/>
    </row>
    <row r="435" spans="1:13" ht="15">
      <c r="A435" s="175"/>
      <c r="B435" s="82"/>
      <c r="C435" s="177"/>
      <c r="D435" s="177"/>
      <c r="E435" s="176"/>
      <c r="F435" s="177"/>
      <c r="G435" s="178"/>
      <c r="H435" s="178"/>
      <c r="I435" s="179"/>
      <c r="J435" s="177"/>
      <c r="K435" s="179"/>
      <c r="L435" s="177"/>
      <c r="M435" s="224"/>
    </row>
    <row r="436" spans="1:13" ht="15">
      <c r="A436" s="175"/>
      <c r="B436" s="82"/>
      <c r="C436" s="177"/>
      <c r="D436" s="177"/>
      <c r="E436" s="176"/>
      <c r="F436" s="177"/>
      <c r="G436" s="178"/>
      <c r="H436" s="178"/>
      <c r="I436" s="179"/>
      <c r="J436" s="177"/>
      <c r="K436" s="179"/>
      <c r="L436" s="177"/>
      <c r="M436" s="224"/>
    </row>
    <row r="437" spans="1:13" ht="15">
      <c r="A437" s="175"/>
      <c r="B437" s="82"/>
      <c r="C437" s="177"/>
      <c r="D437" s="177"/>
      <c r="E437" s="176"/>
      <c r="F437" s="177"/>
      <c r="G437" s="178"/>
      <c r="H437" s="178"/>
      <c r="I437" s="179"/>
      <c r="J437" s="177"/>
      <c r="K437" s="179"/>
      <c r="L437" s="177"/>
      <c r="M437" s="224"/>
    </row>
    <row r="438" spans="1:13" ht="15">
      <c r="A438" s="175"/>
      <c r="B438" s="82"/>
      <c r="C438" s="177"/>
      <c r="D438" s="177"/>
      <c r="E438" s="176"/>
      <c r="F438" s="177"/>
      <c r="G438" s="178"/>
      <c r="H438" s="178"/>
      <c r="I438" s="179"/>
      <c r="J438" s="177"/>
      <c r="K438" s="179"/>
      <c r="L438" s="177"/>
      <c r="M438" s="224"/>
    </row>
    <row r="439" spans="1:13" ht="15">
      <c r="A439" s="175"/>
      <c r="B439" s="82"/>
      <c r="C439" s="177"/>
      <c r="D439" s="177"/>
      <c r="E439" s="176"/>
      <c r="F439" s="177"/>
      <c r="G439" s="178"/>
      <c r="H439" s="178"/>
      <c r="I439" s="179"/>
      <c r="J439" s="177"/>
      <c r="K439" s="179"/>
      <c r="L439" s="177"/>
      <c r="M439" s="224"/>
    </row>
    <row r="440" spans="1:13" ht="15">
      <c r="A440" s="175"/>
      <c r="B440" s="82"/>
      <c r="C440" s="177"/>
      <c r="D440" s="177"/>
      <c r="E440" s="176"/>
      <c r="F440" s="177"/>
      <c r="G440" s="178"/>
      <c r="H440" s="178"/>
      <c r="I440" s="179"/>
      <c r="J440" s="177"/>
      <c r="K440" s="179"/>
      <c r="L440" s="177"/>
      <c r="M440" s="224"/>
    </row>
    <row r="441" spans="1:13" ht="15">
      <c r="A441" s="175"/>
      <c r="B441" s="82"/>
      <c r="C441" s="177"/>
      <c r="D441" s="177"/>
      <c r="E441" s="176"/>
      <c r="F441" s="177"/>
      <c r="G441" s="178"/>
      <c r="H441" s="178"/>
      <c r="I441" s="179"/>
      <c r="J441" s="177"/>
      <c r="K441" s="179"/>
      <c r="L441" s="177"/>
      <c r="M441" s="224"/>
    </row>
    <row r="442" spans="1:13" ht="15">
      <c r="A442" s="175"/>
      <c r="B442" s="82"/>
      <c r="C442" s="177"/>
      <c r="D442" s="177"/>
      <c r="E442" s="176"/>
      <c r="F442" s="177"/>
      <c r="G442" s="178"/>
      <c r="H442" s="178"/>
      <c r="I442" s="179"/>
      <c r="J442" s="177"/>
      <c r="K442" s="179"/>
      <c r="L442" s="177"/>
      <c r="M442" s="224"/>
    </row>
    <row r="443" spans="1:13" ht="15">
      <c r="A443" s="175"/>
      <c r="B443" s="82"/>
      <c r="C443" s="177"/>
      <c r="D443" s="177"/>
      <c r="E443" s="176"/>
      <c r="F443" s="177"/>
      <c r="G443" s="178"/>
      <c r="H443" s="178"/>
      <c r="I443" s="179"/>
      <c r="J443" s="177"/>
      <c r="K443" s="179"/>
      <c r="L443" s="177"/>
      <c r="M443" s="224"/>
    </row>
    <row r="444" spans="1:13" ht="15">
      <c r="A444" s="175"/>
      <c r="B444" s="82"/>
      <c r="C444" s="177"/>
      <c r="D444" s="177"/>
      <c r="E444" s="176"/>
      <c r="F444" s="177"/>
      <c r="G444" s="178"/>
      <c r="H444" s="178"/>
      <c r="I444" s="179"/>
      <c r="J444" s="177"/>
      <c r="K444" s="179"/>
      <c r="L444" s="177"/>
      <c r="M444" s="224"/>
    </row>
    <row r="445" spans="1:13" ht="15">
      <c r="A445" s="175"/>
      <c r="B445" s="82"/>
      <c r="C445" s="177"/>
      <c r="D445" s="177"/>
      <c r="E445" s="176"/>
      <c r="F445" s="177"/>
      <c r="G445" s="178"/>
      <c r="H445" s="178"/>
      <c r="I445" s="179"/>
      <c r="J445" s="177"/>
      <c r="K445" s="179"/>
      <c r="L445" s="177"/>
      <c r="M445" s="224"/>
    </row>
    <row r="446" spans="1:13" ht="15">
      <c r="A446" s="175"/>
      <c r="B446" s="82"/>
      <c r="C446" s="177"/>
      <c r="D446" s="177"/>
      <c r="E446" s="176"/>
      <c r="F446" s="177"/>
      <c r="G446" s="178"/>
      <c r="H446" s="178"/>
      <c r="I446" s="179"/>
      <c r="J446" s="177"/>
      <c r="K446" s="179"/>
      <c r="L446" s="177"/>
      <c r="M446" s="224"/>
    </row>
    <row r="447" spans="1:13" ht="15">
      <c r="A447" s="175"/>
      <c r="B447" s="82"/>
      <c r="C447" s="177"/>
      <c r="D447" s="177"/>
      <c r="E447" s="176"/>
      <c r="F447" s="177"/>
      <c r="G447" s="178"/>
      <c r="H447" s="178"/>
      <c r="I447" s="179"/>
      <c r="J447" s="177"/>
      <c r="K447" s="179"/>
      <c r="L447" s="177"/>
      <c r="M447" s="224"/>
    </row>
    <row r="448" spans="1:13" ht="15">
      <c r="A448" s="175"/>
      <c r="B448" s="82"/>
      <c r="C448" s="177"/>
      <c r="D448" s="177"/>
      <c r="E448" s="176"/>
      <c r="F448" s="177"/>
      <c r="G448" s="178"/>
      <c r="H448" s="178"/>
      <c r="I448" s="179"/>
      <c r="J448" s="177"/>
      <c r="K448" s="179"/>
      <c r="L448" s="177"/>
      <c r="M448" s="224"/>
    </row>
    <row r="449" spans="1:13" ht="15">
      <c r="A449" s="175"/>
      <c r="B449" s="82"/>
      <c r="C449" s="177"/>
      <c r="D449" s="177"/>
      <c r="E449" s="176"/>
      <c r="F449" s="177"/>
      <c r="G449" s="178"/>
      <c r="H449" s="178"/>
      <c r="I449" s="179"/>
      <c r="J449" s="177"/>
      <c r="K449" s="179"/>
      <c r="L449" s="177"/>
      <c r="M449" s="224"/>
    </row>
    <row r="450" spans="1:13" ht="15">
      <c r="A450" s="175"/>
      <c r="B450" s="82"/>
      <c r="C450" s="177"/>
      <c r="D450" s="177"/>
      <c r="E450" s="176"/>
      <c r="F450" s="177"/>
      <c r="G450" s="178"/>
      <c r="H450" s="178"/>
      <c r="I450" s="179"/>
      <c r="J450" s="177"/>
      <c r="K450" s="179"/>
      <c r="L450" s="177"/>
      <c r="M450" s="224"/>
    </row>
    <row r="451" spans="1:13" ht="15">
      <c r="A451" s="175"/>
      <c r="B451" s="82"/>
      <c r="C451" s="177"/>
      <c r="D451" s="177"/>
      <c r="E451" s="176"/>
      <c r="F451" s="177"/>
      <c r="G451" s="178"/>
      <c r="H451" s="178"/>
      <c r="I451" s="179"/>
      <c r="J451" s="177"/>
      <c r="K451" s="179"/>
      <c r="L451" s="177"/>
      <c r="M451" s="224"/>
    </row>
    <row r="452" spans="1:13" ht="15">
      <c r="A452" s="175"/>
      <c r="B452" s="82"/>
      <c r="C452" s="177"/>
      <c r="D452" s="177"/>
      <c r="E452" s="176"/>
      <c r="F452" s="177"/>
      <c r="G452" s="178"/>
      <c r="H452" s="178"/>
      <c r="I452" s="179"/>
      <c r="J452" s="177"/>
      <c r="K452" s="179"/>
      <c r="L452" s="177"/>
      <c r="M452" s="224"/>
    </row>
    <row r="453" spans="1:13" ht="15">
      <c r="A453" s="175"/>
      <c r="B453" s="82"/>
      <c r="C453" s="177"/>
      <c r="D453" s="177"/>
      <c r="E453" s="176"/>
      <c r="F453" s="177"/>
      <c r="G453" s="178"/>
      <c r="H453" s="178"/>
      <c r="I453" s="179"/>
      <c r="J453" s="177"/>
      <c r="K453" s="179"/>
      <c r="L453" s="177"/>
      <c r="M453" s="224"/>
    </row>
    <row r="454" spans="1:13" ht="15">
      <c r="A454" s="175"/>
      <c r="B454" s="82"/>
      <c r="C454" s="177"/>
      <c r="D454" s="177"/>
      <c r="E454" s="176"/>
      <c r="F454" s="177"/>
      <c r="G454" s="178"/>
      <c r="H454" s="178"/>
      <c r="I454" s="179"/>
      <c r="J454" s="177"/>
      <c r="K454" s="179"/>
      <c r="L454" s="177"/>
      <c r="M454" s="224"/>
    </row>
    <row r="455" spans="1:13" ht="15">
      <c r="A455" s="175"/>
      <c r="B455" s="82"/>
      <c r="C455" s="177"/>
      <c r="D455" s="177"/>
      <c r="E455" s="176"/>
      <c r="F455" s="177"/>
      <c r="G455" s="178"/>
      <c r="H455" s="178"/>
      <c r="I455" s="179"/>
      <c r="J455" s="177"/>
      <c r="K455" s="179"/>
      <c r="L455" s="177"/>
      <c r="M455" s="224"/>
    </row>
    <row r="456" spans="1:13" ht="15">
      <c r="A456" s="175"/>
      <c r="B456" s="82"/>
      <c r="C456" s="177"/>
      <c r="D456" s="177"/>
      <c r="E456" s="176"/>
      <c r="F456" s="177"/>
      <c r="G456" s="178"/>
      <c r="H456" s="178"/>
      <c r="I456" s="179"/>
      <c r="J456" s="177"/>
      <c r="K456" s="179"/>
      <c r="L456" s="177"/>
      <c r="M456" s="224"/>
    </row>
    <row r="457" spans="1:13" ht="15">
      <c r="A457" s="175"/>
      <c r="B457" s="82"/>
      <c r="C457" s="177"/>
      <c r="D457" s="177"/>
      <c r="E457" s="176"/>
      <c r="F457" s="177"/>
      <c r="G457" s="178"/>
      <c r="H457" s="178"/>
      <c r="I457" s="179"/>
      <c r="J457" s="177"/>
      <c r="K457" s="179"/>
      <c r="L457" s="177"/>
      <c r="M457" s="224"/>
    </row>
    <row r="458" spans="1:13" ht="15">
      <c r="A458" s="175"/>
      <c r="B458" s="82"/>
      <c r="C458" s="177"/>
      <c r="D458" s="177"/>
      <c r="E458" s="176"/>
      <c r="F458" s="177"/>
      <c r="G458" s="178"/>
      <c r="H458" s="178"/>
      <c r="I458" s="179"/>
      <c r="J458" s="177"/>
      <c r="K458" s="179"/>
      <c r="L458" s="177"/>
      <c r="M458" s="224"/>
    </row>
    <row r="459" spans="1:13" ht="15">
      <c r="A459" s="175"/>
      <c r="B459" s="82"/>
      <c r="C459" s="177"/>
      <c r="D459" s="177"/>
      <c r="E459" s="176"/>
      <c r="F459" s="177"/>
      <c r="G459" s="178"/>
      <c r="H459" s="178"/>
      <c r="I459" s="179"/>
      <c r="J459" s="177"/>
      <c r="K459" s="179"/>
      <c r="L459" s="177"/>
      <c r="M459" s="224"/>
    </row>
    <row r="460" spans="1:13" ht="15">
      <c r="A460" s="175"/>
      <c r="B460" s="82"/>
      <c r="C460" s="177"/>
      <c r="D460" s="177"/>
      <c r="E460" s="176"/>
      <c r="F460" s="177"/>
      <c r="G460" s="178"/>
      <c r="H460" s="178"/>
      <c r="I460" s="179"/>
      <c r="J460" s="177"/>
      <c r="K460" s="179"/>
      <c r="L460" s="177"/>
      <c r="M460" s="224"/>
    </row>
    <row r="461" spans="1:13" ht="15">
      <c r="A461" s="175"/>
      <c r="B461" s="82"/>
      <c r="C461" s="177"/>
      <c r="D461" s="177"/>
      <c r="E461" s="176"/>
      <c r="F461" s="177"/>
      <c r="G461" s="178"/>
      <c r="H461" s="178"/>
      <c r="I461" s="179"/>
      <c r="J461" s="177"/>
      <c r="K461" s="179"/>
      <c r="L461" s="177"/>
      <c r="M461" s="224"/>
    </row>
    <row r="462" spans="1:13" ht="15">
      <c r="A462" s="175"/>
      <c r="B462" s="82"/>
      <c r="C462" s="177"/>
      <c r="D462" s="177"/>
      <c r="E462" s="176"/>
      <c r="F462" s="177"/>
      <c r="G462" s="178"/>
      <c r="H462" s="178"/>
      <c r="I462" s="179"/>
      <c r="J462" s="177"/>
      <c r="K462" s="179"/>
      <c r="L462" s="177"/>
      <c r="M462" s="224"/>
    </row>
    <row r="463" spans="1:13" ht="15">
      <c r="A463" s="175"/>
      <c r="B463" s="82"/>
      <c r="C463" s="177"/>
      <c r="D463" s="177"/>
      <c r="E463" s="176"/>
      <c r="F463" s="177"/>
      <c r="G463" s="178"/>
      <c r="H463" s="178"/>
      <c r="I463" s="179"/>
      <c r="J463" s="177"/>
      <c r="K463" s="179"/>
      <c r="L463" s="177"/>
      <c r="M463" s="224"/>
    </row>
    <row r="464" spans="1:13" ht="15">
      <c r="A464" s="175"/>
      <c r="B464" s="82"/>
      <c r="C464" s="177"/>
      <c r="D464" s="177"/>
      <c r="E464" s="176"/>
      <c r="F464" s="177"/>
      <c r="G464" s="178"/>
      <c r="H464" s="178"/>
      <c r="I464" s="179"/>
      <c r="J464" s="177"/>
      <c r="K464" s="179"/>
      <c r="L464" s="177"/>
      <c r="M464" s="224"/>
    </row>
    <row r="465" spans="1:13" ht="15">
      <c r="A465" s="175"/>
      <c r="B465" s="82"/>
      <c r="C465" s="177"/>
      <c r="D465" s="177"/>
      <c r="E465" s="176"/>
      <c r="F465" s="177"/>
      <c r="G465" s="178"/>
      <c r="H465" s="178"/>
      <c r="I465" s="179"/>
      <c r="J465" s="177"/>
      <c r="K465" s="179"/>
      <c r="L465" s="177"/>
      <c r="M465" s="224"/>
    </row>
    <row r="466" spans="2:3" ht="15">
      <c r="B466" s="3"/>
      <c r="C466" s="79"/>
    </row>
    <row r="467" spans="2:3" ht="15">
      <c r="B467" s="3"/>
      <c r="C467" s="79"/>
    </row>
    <row r="468" spans="2:3" ht="15">
      <c r="B468" s="3"/>
      <c r="C468" s="79"/>
    </row>
    <row r="469" spans="2:3" ht="15">
      <c r="B469" s="3"/>
      <c r="C469" s="79"/>
    </row>
    <row r="470" spans="2:3" ht="15">
      <c r="B470" s="3"/>
      <c r="C470" s="79"/>
    </row>
    <row r="471" spans="2:3" ht="15">
      <c r="B471" s="3"/>
      <c r="C471" s="79"/>
    </row>
    <row r="472" spans="2:3" ht="15">
      <c r="B472" s="3"/>
      <c r="C472" s="79"/>
    </row>
    <row r="473" spans="2:3" ht="15">
      <c r="B473" s="3"/>
      <c r="C473" s="79"/>
    </row>
    <row r="474" spans="2:3" ht="15">
      <c r="B474" s="3"/>
      <c r="C474" s="79"/>
    </row>
    <row r="475" spans="2:3" ht="15">
      <c r="B475" s="3"/>
      <c r="C475" s="79"/>
    </row>
    <row r="476" spans="2:3" ht="15">
      <c r="B476" s="3"/>
      <c r="C476" s="79"/>
    </row>
    <row r="477" spans="2:3" ht="15">
      <c r="B477" s="3"/>
      <c r="C477" s="79"/>
    </row>
    <row r="478" spans="2:3" ht="15">
      <c r="B478" s="3"/>
      <c r="C478" s="79"/>
    </row>
    <row r="479" spans="2:3" ht="15">
      <c r="B479" s="3"/>
      <c r="C479" s="79"/>
    </row>
    <row r="480" spans="2:3" ht="15">
      <c r="B480" s="3"/>
      <c r="C480" s="79"/>
    </row>
    <row r="481" spans="2:3" ht="15">
      <c r="B481" s="3"/>
      <c r="C481" s="79"/>
    </row>
    <row r="482" spans="2:3" ht="15">
      <c r="B482" s="3"/>
      <c r="C482" s="79"/>
    </row>
    <row r="483" spans="2:3" ht="15">
      <c r="B483" s="3"/>
      <c r="C483" s="79"/>
    </row>
    <row r="484" spans="2:3" ht="15">
      <c r="B484" s="3"/>
      <c r="C484" s="79"/>
    </row>
    <row r="485" spans="2:3" ht="15">
      <c r="B485" s="3"/>
      <c r="C485" s="79"/>
    </row>
    <row r="486" spans="2:3" ht="15">
      <c r="B486" s="3"/>
      <c r="C486" s="79"/>
    </row>
    <row r="487" spans="2:3" ht="15">
      <c r="B487" s="3"/>
      <c r="C487" s="79"/>
    </row>
    <row r="488" spans="2:3" ht="15">
      <c r="B488" s="3"/>
      <c r="C488" s="79"/>
    </row>
    <row r="489" spans="2:3" ht="15">
      <c r="B489" s="3"/>
      <c r="C489" s="79"/>
    </row>
    <row r="490" spans="2:3" ht="15">
      <c r="B490" s="3"/>
      <c r="C490" s="79"/>
    </row>
    <row r="491" spans="2:3" ht="15">
      <c r="B491" s="3"/>
      <c r="C491" s="79"/>
    </row>
    <row r="492" spans="2:3" ht="15">
      <c r="B492" s="3"/>
      <c r="C492" s="79"/>
    </row>
    <row r="493" spans="2:3" ht="15">
      <c r="B493" s="3"/>
      <c r="C493" s="79"/>
    </row>
    <row r="494" spans="2:3" ht="15">
      <c r="B494" s="3"/>
      <c r="C494" s="79"/>
    </row>
    <row r="495" spans="2:3" ht="15">
      <c r="B495" s="3"/>
      <c r="C495" s="79"/>
    </row>
    <row r="496" spans="2:3" ht="15">
      <c r="B496" s="3"/>
      <c r="C496" s="79"/>
    </row>
    <row r="497" spans="2:3" ht="15">
      <c r="B497" s="3"/>
      <c r="C497" s="79"/>
    </row>
    <row r="498" spans="2:3" ht="15">
      <c r="B498" s="3"/>
      <c r="C498" s="79"/>
    </row>
    <row r="499" spans="2:3" ht="15">
      <c r="B499" s="3"/>
      <c r="C499" s="79"/>
    </row>
    <row r="500" spans="2:3" ht="15">
      <c r="B500" s="3"/>
      <c r="C500" s="79"/>
    </row>
    <row r="501" spans="2:3" ht="15">
      <c r="B501" s="3"/>
      <c r="C501" s="79"/>
    </row>
    <row r="502" spans="2:3" ht="15">
      <c r="B502" s="3"/>
      <c r="C502" s="79"/>
    </row>
    <row r="503" spans="2:3" ht="15">
      <c r="B503" s="3"/>
      <c r="C503" s="79"/>
    </row>
    <row r="504" spans="2:3" ht="15">
      <c r="B504" s="3"/>
      <c r="C504" s="79"/>
    </row>
    <row r="505" spans="2:3" ht="15">
      <c r="B505" s="3"/>
      <c r="C505" s="79"/>
    </row>
    <row r="506" spans="2:3" ht="15">
      <c r="B506" s="3"/>
      <c r="C506" s="79"/>
    </row>
    <row r="507" spans="2:3" ht="15">
      <c r="B507" s="3"/>
      <c r="C507" s="79"/>
    </row>
    <row r="508" spans="2:3" ht="15">
      <c r="B508" s="3"/>
      <c r="C508" s="79"/>
    </row>
    <row r="509" spans="2:3" ht="15">
      <c r="B509" s="3"/>
      <c r="C509" s="79"/>
    </row>
    <row r="510" spans="2:3" ht="15">
      <c r="B510" s="3"/>
      <c r="C510" s="79"/>
    </row>
    <row r="511" spans="2:3" ht="15">
      <c r="B511" s="3"/>
      <c r="C511" s="79"/>
    </row>
    <row r="512" spans="2:3" ht="15">
      <c r="B512" s="3"/>
      <c r="C512" s="79"/>
    </row>
    <row r="513" spans="1:14" ht="15.75">
      <c r="A513" s="50"/>
      <c r="B513" s="4"/>
      <c r="C513" s="188"/>
      <c r="D513" s="188"/>
      <c r="E513" s="52"/>
      <c r="F513" s="188"/>
      <c r="G513" s="39"/>
      <c r="H513" s="39"/>
      <c r="I513" s="189"/>
      <c r="J513" s="188"/>
      <c r="K513" s="189"/>
      <c r="L513" s="188"/>
      <c r="M513" s="227"/>
      <c r="N513" s="52"/>
    </row>
    <row r="514" spans="1:14" ht="15.75">
      <c r="A514" s="50"/>
      <c r="B514" s="4"/>
      <c r="C514" s="188"/>
      <c r="D514" s="188"/>
      <c r="E514" s="52"/>
      <c r="F514" s="188"/>
      <c r="G514" s="39"/>
      <c r="H514" s="39"/>
      <c r="I514" s="189"/>
      <c r="J514" s="188"/>
      <c r="K514" s="189"/>
      <c r="L514" s="188"/>
      <c r="M514" s="227"/>
      <c r="N514" s="52"/>
    </row>
    <row r="515" spans="1:14" ht="15.75">
      <c r="A515" s="50"/>
      <c r="B515" s="4"/>
      <c r="C515" s="188"/>
      <c r="D515" s="188"/>
      <c r="E515" s="52"/>
      <c r="F515" s="188"/>
      <c r="G515" s="39"/>
      <c r="H515" s="39"/>
      <c r="I515" s="189"/>
      <c r="J515" s="188"/>
      <c r="K515" s="189"/>
      <c r="L515" s="188"/>
      <c r="M515" s="227"/>
      <c r="N515" s="52"/>
    </row>
    <row r="516" spans="1:14" ht="15.75">
      <c r="A516" s="50"/>
      <c r="B516" s="4"/>
      <c r="C516" s="188"/>
      <c r="D516" s="188"/>
      <c r="E516" s="52"/>
      <c r="F516" s="188"/>
      <c r="G516" s="39"/>
      <c r="H516" s="39"/>
      <c r="I516" s="189"/>
      <c r="J516" s="188"/>
      <c r="K516" s="189"/>
      <c r="L516" s="188"/>
      <c r="M516" s="227"/>
      <c r="N516" s="52"/>
    </row>
    <row r="517" spans="1:14" ht="15.75">
      <c r="A517" s="50"/>
      <c r="B517" s="4"/>
      <c r="C517" s="188"/>
      <c r="D517" s="188"/>
      <c r="E517" s="52"/>
      <c r="F517" s="188"/>
      <c r="G517" s="39"/>
      <c r="H517" s="39"/>
      <c r="I517" s="189"/>
      <c r="J517" s="188"/>
      <c r="K517" s="189"/>
      <c r="L517" s="188"/>
      <c r="M517" s="227"/>
      <c r="N517" s="52"/>
    </row>
    <row r="518" spans="1:14" ht="15.75">
      <c r="A518" s="50"/>
      <c r="B518" s="4"/>
      <c r="C518" s="188"/>
      <c r="D518" s="188"/>
      <c r="E518" s="52"/>
      <c r="F518" s="188"/>
      <c r="G518" s="39"/>
      <c r="H518" s="39"/>
      <c r="I518" s="189"/>
      <c r="J518" s="188"/>
      <c r="K518" s="189"/>
      <c r="L518" s="188"/>
      <c r="M518" s="227"/>
      <c r="N518" s="52"/>
    </row>
    <row r="519" spans="1:14" ht="15.75">
      <c r="A519" s="50"/>
      <c r="B519" s="4"/>
      <c r="C519" s="188"/>
      <c r="D519" s="188"/>
      <c r="E519" s="52"/>
      <c r="F519" s="188"/>
      <c r="G519" s="39"/>
      <c r="H519" s="39"/>
      <c r="I519" s="189"/>
      <c r="J519" s="188"/>
      <c r="K519" s="189"/>
      <c r="L519" s="188"/>
      <c r="M519" s="227"/>
      <c r="N519" s="52"/>
    </row>
    <row r="520" spans="1:14" ht="15.75">
      <c r="A520" s="50"/>
      <c r="B520" s="4"/>
      <c r="C520" s="188"/>
      <c r="D520" s="188"/>
      <c r="E520" s="52"/>
      <c r="F520" s="188"/>
      <c r="G520" s="39"/>
      <c r="H520" s="39"/>
      <c r="I520" s="189"/>
      <c r="J520" s="188"/>
      <c r="K520" s="189"/>
      <c r="L520" s="188"/>
      <c r="M520" s="227"/>
      <c r="N520" s="52"/>
    </row>
    <row r="521" spans="1:14" ht="15.75">
      <c r="A521" s="50"/>
      <c r="B521" s="4"/>
      <c r="C521" s="188"/>
      <c r="D521" s="188"/>
      <c r="E521" s="52"/>
      <c r="F521" s="188"/>
      <c r="G521" s="39"/>
      <c r="H521" s="39"/>
      <c r="I521" s="189"/>
      <c r="J521" s="188"/>
      <c r="K521" s="189"/>
      <c r="L521" s="188"/>
      <c r="M521" s="227"/>
      <c r="N521" s="52"/>
    </row>
    <row r="522" spans="1:14" ht="15.75">
      <c r="A522" s="50"/>
      <c r="B522" s="4"/>
      <c r="C522" s="188"/>
      <c r="D522" s="188"/>
      <c r="E522" s="52"/>
      <c r="F522" s="188"/>
      <c r="G522" s="39"/>
      <c r="H522" s="39"/>
      <c r="I522" s="189"/>
      <c r="J522" s="188"/>
      <c r="K522" s="189"/>
      <c r="L522" s="188"/>
      <c r="M522" s="227"/>
      <c r="N522" s="52"/>
    </row>
    <row r="523" spans="1:14" ht="15.75">
      <c r="A523" s="50"/>
      <c r="B523" s="4"/>
      <c r="C523" s="188"/>
      <c r="D523" s="188"/>
      <c r="E523" s="52"/>
      <c r="F523" s="188"/>
      <c r="G523" s="39"/>
      <c r="H523" s="39"/>
      <c r="I523" s="189"/>
      <c r="J523" s="188"/>
      <c r="K523" s="189"/>
      <c r="L523" s="188"/>
      <c r="M523" s="227"/>
      <c r="N523" s="52"/>
    </row>
    <row r="524" spans="1:14" ht="15.75">
      <c r="A524" s="50"/>
      <c r="B524" s="4"/>
      <c r="C524" s="188"/>
      <c r="D524" s="188"/>
      <c r="E524" s="52"/>
      <c r="F524" s="188"/>
      <c r="G524" s="39"/>
      <c r="H524" s="39"/>
      <c r="I524" s="189"/>
      <c r="J524" s="188"/>
      <c r="K524" s="189"/>
      <c r="L524" s="188"/>
      <c r="M524" s="227"/>
      <c r="N524" s="52"/>
    </row>
    <row r="525" spans="1:14" ht="15.75">
      <c r="A525" s="50"/>
      <c r="B525" s="4"/>
      <c r="C525" s="188"/>
      <c r="D525" s="188"/>
      <c r="E525" s="52"/>
      <c r="F525" s="188"/>
      <c r="G525" s="39"/>
      <c r="H525" s="39"/>
      <c r="I525" s="189"/>
      <c r="J525" s="188"/>
      <c r="K525" s="189"/>
      <c r="L525" s="188"/>
      <c r="M525" s="227"/>
      <c r="N525" s="52"/>
    </row>
    <row r="526" spans="1:14" ht="15.75">
      <c r="A526" s="50"/>
      <c r="B526" s="4"/>
      <c r="C526" s="188"/>
      <c r="D526" s="188"/>
      <c r="E526" s="52"/>
      <c r="F526" s="188"/>
      <c r="G526" s="39"/>
      <c r="H526" s="39"/>
      <c r="I526" s="189"/>
      <c r="J526" s="188"/>
      <c r="K526" s="189"/>
      <c r="L526" s="188"/>
      <c r="M526" s="227"/>
      <c r="N526" s="52"/>
    </row>
    <row r="527" spans="1:14" ht="15.75">
      <c r="A527" s="50"/>
      <c r="B527" s="4"/>
      <c r="C527" s="188"/>
      <c r="D527" s="188"/>
      <c r="E527" s="52"/>
      <c r="F527" s="188"/>
      <c r="G527" s="39"/>
      <c r="H527" s="39"/>
      <c r="I527" s="189"/>
      <c r="J527" s="188"/>
      <c r="K527" s="189"/>
      <c r="L527" s="188"/>
      <c r="M527" s="227"/>
      <c r="N527" s="52"/>
    </row>
    <row r="528" spans="1:14" ht="15.75">
      <c r="A528" s="50"/>
      <c r="B528" s="4"/>
      <c r="C528" s="188"/>
      <c r="D528" s="188"/>
      <c r="E528" s="52"/>
      <c r="F528" s="188"/>
      <c r="G528" s="39"/>
      <c r="H528" s="39"/>
      <c r="I528" s="189"/>
      <c r="J528" s="188"/>
      <c r="K528" s="189"/>
      <c r="L528" s="188"/>
      <c r="M528" s="227"/>
      <c r="N528" s="52"/>
    </row>
    <row r="529" spans="1:14" ht="15.75">
      <c r="A529" s="50"/>
      <c r="B529" s="4"/>
      <c r="C529" s="188"/>
      <c r="D529" s="188"/>
      <c r="E529" s="52"/>
      <c r="F529" s="188"/>
      <c r="G529" s="39"/>
      <c r="H529" s="39"/>
      <c r="I529" s="189"/>
      <c r="J529" s="188"/>
      <c r="K529" s="189"/>
      <c r="L529" s="188"/>
      <c r="M529" s="227"/>
      <c r="N529" s="52"/>
    </row>
    <row r="530" spans="1:14" ht="15.75">
      <c r="A530" s="50"/>
      <c r="B530" s="4"/>
      <c r="C530" s="188"/>
      <c r="D530" s="188"/>
      <c r="E530" s="52"/>
      <c r="F530" s="188"/>
      <c r="G530" s="39"/>
      <c r="H530" s="39"/>
      <c r="I530" s="189"/>
      <c r="J530" s="188"/>
      <c r="K530" s="189"/>
      <c r="L530" s="188"/>
      <c r="M530" s="227"/>
      <c r="N530" s="52"/>
    </row>
    <row r="531" spans="1:14" ht="15.75">
      <c r="A531" s="50"/>
      <c r="B531" s="4"/>
      <c r="C531" s="188"/>
      <c r="D531" s="188"/>
      <c r="E531" s="52"/>
      <c r="F531" s="188"/>
      <c r="G531" s="39"/>
      <c r="H531" s="39"/>
      <c r="I531" s="189"/>
      <c r="J531" s="188"/>
      <c r="K531" s="189"/>
      <c r="L531" s="188"/>
      <c r="M531" s="227"/>
      <c r="N531" s="52"/>
    </row>
    <row r="532" spans="1:14" ht="15.75">
      <c r="A532" s="50"/>
      <c r="B532" s="4"/>
      <c r="C532" s="188"/>
      <c r="D532" s="188"/>
      <c r="E532" s="52"/>
      <c r="F532" s="188"/>
      <c r="G532" s="39"/>
      <c r="H532" s="39"/>
      <c r="I532" s="189"/>
      <c r="J532" s="188"/>
      <c r="K532" s="189"/>
      <c r="L532" s="188"/>
      <c r="M532" s="227"/>
      <c r="N532" s="52"/>
    </row>
    <row r="533" spans="1:14" ht="15.75">
      <c r="A533" s="50"/>
      <c r="B533" s="4"/>
      <c r="C533" s="188"/>
      <c r="D533" s="188"/>
      <c r="E533" s="52"/>
      <c r="F533" s="188"/>
      <c r="G533" s="39"/>
      <c r="H533" s="39"/>
      <c r="I533" s="189"/>
      <c r="J533" s="188"/>
      <c r="K533" s="189"/>
      <c r="L533" s="188"/>
      <c r="M533" s="227"/>
      <c r="N533" s="52"/>
    </row>
    <row r="534" spans="1:14" ht="15.75">
      <c r="A534" s="50"/>
      <c r="B534" s="4"/>
      <c r="C534" s="188"/>
      <c r="D534" s="188"/>
      <c r="E534" s="52"/>
      <c r="F534" s="188"/>
      <c r="G534" s="39"/>
      <c r="H534" s="39"/>
      <c r="I534" s="189"/>
      <c r="J534" s="188"/>
      <c r="K534" s="189"/>
      <c r="L534" s="188"/>
      <c r="M534" s="227"/>
      <c r="N534" s="52"/>
    </row>
    <row r="535" spans="1:14" ht="15.75">
      <c r="A535" s="50"/>
      <c r="B535" s="4"/>
      <c r="C535" s="188"/>
      <c r="D535" s="188"/>
      <c r="E535" s="52"/>
      <c r="F535" s="188"/>
      <c r="G535" s="39"/>
      <c r="H535" s="39"/>
      <c r="I535" s="189"/>
      <c r="J535" s="188"/>
      <c r="K535" s="189"/>
      <c r="L535" s="188"/>
      <c r="M535" s="227"/>
      <c r="N535" s="52"/>
    </row>
    <row r="536" spans="1:14" ht="15.75">
      <c r="A536" s="50"/>
      <c r="B536" s="4"/>
      <c r="C536" s="188"/>
      <c r="D536" s="188"/>
      <c r="E536" s="52"/>
      <c r="F536" s="188"/>
      <c r="G536" s="39"/>
      <c r="H536" s="39"/>
      <c r="I536" s="189"/>
      <c r="J536" s="188"/>
      <c r="K536" s="189"/>
      <c r="L536" s="188"/>
      <c r="M536" s="227"/>
      <c r="N536" s="52"/>
    </row>
    <row r="537" spans="1:14" ht="15.75">
      <c r="A537" s="50"/>
      <c r="B537" s="4"/>
      <c r="C537" s="188"/>
      <c r="D537" s="188"/>
      <c r="E537" s="52"/>
      <c r="F537" s="188"/>
      <c r="G537" s="39"/>
      <c r="H537" s="39"/>
      <c r="I537" s="189"/>
      <c r="J537" s="188"/>
      <c r="K537" s="189"/>
      <c r="L537" s="188"/>
      <c r="M537" s="227"/>
      <c r="N537" s="52"/>
    </row>
    <row r="538" spans="1:14" ht="15.75">
      <c r="A538" s="50"/>
      <c r="B538" s="4"/>
      <c r="C538" s="188"/>
      <c r="D538" s="188"/>
      <c r="E538" s="52"/>
      <c r="F538" s="188"/>
      <c r="G538" s="39"/>
      <c r="H538" s="39"/>
      <c r="I538" s="189"/>
      <c r="J538" s="188"/>
      <c r="K538" s="189"/>
      <c r="L538" s="188"/>
      <c r="M538" s="227"/>
      <c r="N538" s="52"/>
    </row>
    <row r="539" spans="1:14" ht="15.75">
      <c r="A539" s="50"/>
      <c r="B539" s="4"/>
      <c r="C539" s="188"/>
      <c r="D539" s="188"/>
      <c r="E539" s="52"/>
      <c r="F539" s="188"/>
      <c r="G539" s="39"/>
      <c r="H539" s="39"/>
      <c r="I539" s="189"/>
      <c r="J539" s="188"/>
      <c r="K539" s="189"/>
      <c r="L539" s="188"/>
      <c r="M539" s="227"/>
      <c r="N539" s="52"/>
    </row>
    <row r="540" spans="1:14" ht="15.75">
      <c r="A540" s="50"/>
      <c r="B540" s="4"/>
      <c r="C540" s="188"/>
      <c r="D540" s="188"/>
      <c r="E540" s="52"/>
      <c r="F540" s="188"/>
      <c r="G540" s="39"/>
      <c r="H540" s="39"/>
      <c r="I540" s="189"/>
      <c r="J540" s="188"/>
      <c r="K540" s="189"/>
      <c r="L540" s="188"/>
      <c r="M540" s="227"/>
      <c r="N540" s="52"/>
    </row>
    <row r="541" spans="1:14" ht="15.75">
      <c r="A541" s="50"/>
      <c r="B541" s="4"/>
      <c r="C541" s="188"/>
      <c r="D541" s="188"/>
      <c r="E541" s="52"/>
      <c r="F541" s="188"/>
      <c r="G541" s="39"/>
      <c r="H541" s="39"/>
      <c r="I541" s="189"/>
      <c r="J541" s="188"/>
      <c r="K541" s="189"/>
      <c r="L541" s="188"/>
      <c r="M541" s="227"/>
      <c r="N541" s="52"/>
    </row>
    <row r="542" spans="1:14" ht="15.75">
      <c r="A542" s="50"/>
      <c r="B542" s="4"/>
      <c r="C542" s="188"/>
      <c r="D542" s="188"/>
      <c r="E542" s="52"/>
      <c r="F542" s="188"/>
      <c r="G542" s="39"/>
      <c r="H542" s="39"/>
      <c r="I542" s="189"/>
      <c r="J542" s="188"/>
      <c r="K542" s="189"/>
      <c r="L542" s="188"/>
      <c r="M542" s="227"/>
      <c r="N542" s="52"/>
    </row>
    <row r="543" spans="1:14" ht="15.75">
      <c r="A543" s="50"/>
      <c r="B543" s="4"/>
      <c r="C543" s="188"/>
      <c r="D543" s="188"/>
      <c r="E543" s="52"/>
      <c r="F543" s="188"/>
      <c r="G543" s="39"/>
      <c r="H543" s="39"/>
      <c r="I543" s="189"/>
      <c r="J543" s="188"/>
      <c r="K543" s="189"/>
      <c r="L543" s="188"/>
      <c r="M543" s="227"/>
      <c r="N543" s="52"/>
    </row>
    <row r="544" spans="1:14" ht="15.75">
      <c r="A544" s="50"/>
      <c r="B544" s="4"/>
      <c r="C544" s="188"/>
      <c r="D544" s="188"/>
      <c r="E544" s="52"/>
      <c r="F544" s="188"/>
      <c r="G544" s="39"/>
      <c r="H544" s="39"/>
      <c r="I544" s="189"/>
      <c r="J544" s="188"/>
      <c r="K544" s="189"/>
      <c r="L544" s="188"/>
      <c r="M544" s="227"/>
      <c r="N544" s="52"/>
    </row>
    <row r="545" spans="1:14" ht="15.75">
      <c r="A545" s="50"/>
      <c r="B545" s="4"/>
      <c r="C545" s="188"/>
      <c r="D545" s="188"/>
      <c r="E545" s="52"/>
      <c r="F545" s="188"/>
      <c r="G545" s="39"/>
      <c r="H545" s="39"/>
      <c r="I545" s="189"/>
      <c r="J545" s="188"/>
      <c r="K545" s="189"/>
      <c r="L545" s="188"/>
      <c r="M545" s="227"/>
      <c r="N545" s="52"/>
    </row>
    <row r="546" spans="1:14" ht="15.75">
      <c r="A546" s="50"/>
      <c r="B546" s="4"/>
      <c r="C546" s="188"/>
      <c r="D546" s="188"/>
      <c r="E546" s="52"/>
      <c r="F546" s="188"/>
      <c r="G546" s="39"/>
      <c r="H546" s="39"/>
      <c r="I546" s="189"/>
      <c r="J546" s="188"/>
      <c r="K546" s="189"/>
      <c r="L546" s="188"/>
      <c r="M546" s="227"/>
      <c r="N546" s="52"/>
    </row>
    <row r="547" spans="1:14" ht="15.75">
      <c r="A547" s="50"/>
      <c r="B547" s="4"/>
      <c r="C547" s="188"/>
      <c r="D547" s="188"/>
      <c r="E547" s="52"/>
      <c r="F547" s="188"/>
      <c r="G547" s="39"/>
      <c r="H547" s="39"/>
      <c r="I547" s="189"/>
      <c r="J547" s="188"/>
      <c r="K547" s="189"/>
      <c r="L547" s="188"/>
      <c r="M547" s="227"/>
      <c r="N547" s="52"/>
    </row>
    <row r="548" spans="1:14" ht="15.75">
      <c r="A548" s="50"/>
      <c r="B548" s="4"/>
      <c r="C548" s="188"/>
      <c r="D548" s="188"/>
      <c r="E548" s="52"/>
      <c r="F548" s="188"/>
      <c r="G548" s="39"/>
      <c r="H548" s="39"/>
      <c r="I548" s="189"/>
      <c r="J548" s="188"/>
      <c r="K548" s="189"/>
      <c r="L548" s="188"/>
      <c r="M548" s="227"/>
      <c r="N548" s="52"/>
    </row>
    <row r="549" spans="1:14" ht="15.75">
      <c r="A549" s="50"/>
      <c r="B549" s="4"/>
      <c r="C549" s="188"/>
      <c r="D549" s="188"/>
      <c r="E549" s="52"/>
      <c r="F549" s="188"/>
      <c r="G549" s="39"/>
      <c r="H549" s="39"/>
      <c r="I549" s="189"/>
      <c r="J549" s="188"/>
      <c r="K549" s="189"/>
      <c r="L549" s="188"/>
      <c r="M549" s="227"/>
      <c r="N549" s="52"/>
    </row>
    <row r="550" spans="1:14" ht="15.75">
      <c r="A550" s="50"/>
      <c r="B550" s="4"/>
      <c r="C550" s="188"/>
      <c r="D550" s="188"/>
      <c r="E550" s="52"/>
      <c r="F550" s="188"/>
      <c r="G550" s="39"/>
      <c r="H550" s="39"/>
      <c r="I550" s="189"/>
      <c r="J550" s="188"/>
      <c r="K550" s="189"/>
      <c r="L550" s="188"/>
      <c r="M550" s="227"/>
      <c r="N550" s="52"/>
    </row>
    <row r="551" spans="1:14" ht="15.75">
      <c r="A551" s="50"/>
      <c r="B551" s="4"/>
      <c r="C551" s="188"/>
      <c r="D551" s="188"/>
      <c r="E551" s="52"/>
      <c r="F551" s="188"/>
      <c r="G551" s="39"/>
      <c r="H551" s="39"/>
      <c r="I551" s="189"/>
      <c r="J551" s="188"/>
      <c r="K551" s="189"/>
      <c r="L551" s="188"/>
      <c r="M551" s="227"/>
      <c r="N551" s="52"/>
    </row>
    <row r="552" spans="1:14" ht="15.75">
      <c r="A552" s="50"/>
      <c r="B552" s="4"/>
      <c r="C552" s="188"/>
      <c r="D552" s="188"/>
      <c r="E552" s="52"/>
      <c r="F552" s="188"/>
      <c r="G552" s="39"/>
      <c r="H552" s="39"/>
      <c r="I552" s="189"/>
      <c r="J552" s="188"/>
      <c r="K552" s="189"/>
      <c r="L552" s="188"/>
      <c r="M552" s="227"/>
      <c r="N552" s="52"/>
    </row>
    <row r="553" spans="1:14" ht="15.75">
      <c r="A553" s="50"/>
      <c r="B553" s="4"/>
      <c r="C553" s="188"/>
      <c r="D553" s="188"/>
      <c r="E553" s="52"/>
      <c r="F553" s="188"/>
      <c r="G553" s="39"/>
      <c r="H553" s="39"/>
      <c r="I553" s="189"/>
      <c r="J553" s="188"/>
      <c r="K553" s="189"/>
      <c r="L553" s="188"/>
      <c r="M553" s="227"/>
      <c r="N553" s="52"/>
    </row>
    <row r="554" spans="1:14" ht="15.75">
      <c r="A554" s="50"/>
      <c r="B554" s="4"/>
      <c r="C554" s="188"/>
      <c r="D554" s="188"/>
      <c r="E554" s="52"/>
      <c r="F554" s="188"/>
      <c r="G554" s="39"/>
      <c r="H554" s="39"/>
      <c r="I554" s="189"/>
      <c r="J554" s="188"/>
      <c r="K554" s="189"/>
      <c r="L554" s="188"/>
      <c r="M554" s="227"/>
      <c r="N554" s="52"/>
    </row>
    <row r="555" spans="1:14" ht="15.75">
      <c r="A555" s="50"/>
      <c r="B555" s="4"/>
      <c r="C555" s="188"/>
      <c r="D555" s="188"/>
      <c r="E555" s="52"/>
      <c r="F555" s="188"/>
      <c r="G555" s="39"/>
      <c r="H555" s="39"/>
      <c r="I555" s="189"/>
      <c r="J555" s="188"/>
      <c r="K555" s="189"/>
      <c r="L555" s="188"/>
      <c r="M555" s="227"/>
      <c r="N555" s="52"/>
    </row>
    <row r="556" spans="1:14" ht="15.75">
      <c r="A556" s="50"/>
      <c r="B556" s="4"/>
      <c r="C556" s="188"/>
      <c r="D556" s="188"/>
      <c r="E556" s="52"/>
      <c r="F556" s="188"/>
      <c r="G556" s="39"/>
      <c r="H556" s="39"/>
      <c r="I556" s="189"/>
      <c r="J556" s="188"/>
      <c r="K556" s="189"/>
      <c r="L556" s="188"/>
      <c r="M556" s="227"/>
      <c r="N556" s="52"/>
    </row>
    <row r="557" spans="1:14" ht="15.75">
      <c r="A557" s="50"/>
      <c r="B557" s="4"/>
      <c r="C557" s="188"/>
      <c r="D557" s="188"/>
      <c r="E557" s="52"/>
      <c r="F557" s="188"/>
      <c r="G557" s="39"/>
      <c r="H557" s="39"/>
      <c r="I557" s="189"/>
      <c r="J557" s="188"/>
      <c r="K557" s="189"/>
      <c r="L557" s="188"/>
      <c r="M557" s="227"/>
      <c r="N557" s="52"/>
    </row>
    <row r="558" spans="1:14" ht="15.75">
      <c r="A558" s="50"/>
      <c r="B558" s="4"/>
      <c r="C558" s="188"/>
      <c r="D558" s="188"/>
      <c r="E558" s="52"/>
      <c r="F558" s="188"/>
      <c r="G558" s="39"/>
      <c r="H558" s="39"/>
      <c r="I558" s="189"/>
      <c r="J558" s="188"/>
      <c r="K558" s="189"/>
      <c r="L558" s="188"/>
      <c r="M558" s="227"/>
      <c r="N558" s="52"/>
    </row>
    <row r="559" spans="1:14" ht="15.75">
      <c r="A559" s="50"/>
      <c r="B559" s="4"/>
      <c r="C559" s="188"/>
      <c r="D559" s="188"/>
      <c r="E559" s="52"/>
      <c r="F559" s="188"/>
      <c r="G559" s="39"/>
      <c r="H559" s="39"/>
      <c r="I559" s="189"/>
      <c r="J559" s="188"/>
      <c r="K559" s="189"/>
      <c r="L559" s="188"/>
      <c r="M559" s="227"/>
      <c r="N559" s="52"/>
    </row>
    <row r="560" spans="1:14" ht="15.75">
      <c r="A560" s="50"/>
      <c r="B560" s="4"/>
      <c r="C560" s="188"/>
      <c r="D560" s="188"/>
      <c r="E560" s="52"/>
      <c r="F560" s="188"/>
      <c r="G560" s="39"/>
      <c r="H560" s="39"/>
      <c r="I560" s="189"/>
      <c r="J560" s="188"/>
      <c r="K560" s="189"/>
      <c r="L560" s="188"/>
      <c r="M560" s="227"/>
      <c r="N560" s="52"/>
    </row>
    <row r="561" spans="1:14" ht="15.75">
      <c r="A561" s="50"/>
      <c r="B561" s="4"/>
      <c r="C561" s="188"/>
      <c r="D561" s="188"/>
      <c r="E561" s="52"/>
      <c r="F561" s="188"/>
      <c r="G561" s="39"/>
      <c r="H561" s="39"/>
      <c r="I561" s="189"/>
      <c r="J561" s="188"/>
      <c r="K561" s="189"/>
      <c r="L561" s="188"/>
      <c r="M561" s="227"/>
      <c r="N561" s="52"/>
    </row>
    <row r="562" spans="1:14" ht="15.75">
      <c r="A562" s="50"/>
      <c r="B562" s="4"/>
      <c r="C562" s="188"/>
      <c r="D562" s="188"/>
      <c r="E562" s="52"/>
      <c r="F562" s="188"/>
      <c r="G562" s="39"/>
      <c r="H562" s="39"/>
      <c r="I562" s="189"/>
      <c r="J562" s="188"/>
      <c r="K562" s="189"/>
      <c r="L562" s="188"/>
      <c r="M562" s="227"/>
      <c r="N562" s="52"/>
    </row>
    <row r="563" spans="1:14" ht="15.75">
      <c r="A563" s="50"/>
      <c r="B563" s="4"/>
      <c r="C563" s="188"/>
      <c r="D563" s="188"/>
      <c r="E563" s="52"/>
      <c r="F563" s="188"/>
      <c r="G563" s="39"/>
      <c r="H563" s="39"/>
      <c r="I563" s="189"/>
      <c r="J563" s="188"/>
      <c r="K563" s="189"/>
      <c r="L563" s="188"/>
      <c r="M563" s="227"/>
      <c r="N563" s="52"/>
    </row>
    <row r="564" spans="1:14" ht="15.75">
      <c r="A564" s="50"/>
      <c r="B564" s="4"/>
      <c r="C564" s="188"/>
      <c r="D564" s="188"/>
      <c r="E564" s="52"/>
      <c r="F564" s="188"/>
      <c r="G564" s="39"/>
      <c r="H564" s="39"/>
      <c r="I564" s="189"/>
      <c r="J564" s="188"/>
      <c r="K564" s="189"/>
      <c r="L564" s="188"/>
      <c r="M564" s="227"/>
      <c r="N564" s="52"/>
    </row>
    <row r="565" spans="1:14" ht="15.75">
      <c r="A565" s="50"/>
      <c r="B565" s="4"/>
      <c r="C565" s="188"/>
      <c r="D565" s="188"/>
      <c r="E565" s="52"/>
      <c r="F565" s="188"/>
      <c r="G565" s="39"/>
      <c r="H565" s="39"/>
      <c r="I565" s="189"/>
      <c r="J565" s="188"/>
      <c r="K565" s="189"/>
      <c r="L565" s="188"/>
      <c r="M565" s="227"/>
      <c r="N565" s="52"/>
    </row>
    <row r="566" spans="1:14" ht="15.75">
      <c r="A566" s="50"/>
      <c r="B566" s="4"/>
      <c r="C566" s="188"/>
      <c r="D566" s="188"/>
      <c r="E566" s="52"/>
      <c r="F566" s="188"/>
      <c r="G566" s="39"/>
      <c r="H566" s="39"/>
      <c r="I566" s="189"/>
      <c r="J566" s="188"/>
      <c r="K566" s="189"/>
      <c r="L566" s="188"/>
      <c r="M566" s="227"/>
      <c r="N566" s="52"/>
    </row>
    <row r="567" spans="1:14" ht="15.75">
      <c r="A567" s="50"/>
      <c r="B567" s="4"/>
      <c r="C567" s="188"/>
      <c r="D567" s="188"/>
      <c r="E567" s="52"/>
      <c r="F567" s="188"/>
      <c r="G567" s="39"/>
      <c r="H567" s="39"/>
      <c r="I567" s="189"/>
      <c r="J567" s="188"/>
      <c r="K567" s="189"/>
      <c r="L567" s="188"/>
      <c r="M567" s="227"/>
      <c r="N567" s="52"/>
    </row>
    <row r="568" spans="1:14" ht="15.75">
      <c r="A568" s="50"/>
      <c r="B568" s="4"/>
      <c r="C568" s="188"/>
      <c r="D568" s="188"/>
      <c r="E568" s="52"/>
      <c r="F568" s="188"/>
      <c r="G568" s="39"/>
      <c r="H568" s="39"/>
      <c r="I568" s="189"/>
      <c r="J568" s="188"/>
      <c r="K568" s="189"/>
      <c r="L568" s="188"/>
      <c r="M568" s="227"/>
      <c r="N568" s="52"/>
    </row>
    <row r="569" spans="1:14" ht="15.75">
      <c r="A569" s="50"/>
      <c r="B569" s="4"/>
      <c r="C569" s="188"/>
      <c r="D569" s="188"/>
      <c r="E569" s="52"/>
      <c r="F569" s="188"/>
      <c r="G569" s="39"/>
      <c r="H569" s="39"/>
      <c r="I569" s="189"/>
      <c r="J569" s="188"/>
      <c r="K569" s="189"/>
      <c r="L569" s="188"/>
      <c r="M569" s="227"/>
      <c r="N569" s="52"/>
    </row>
    <row r="570" spans="1:14" ht="15.75">
      <c r="A570" s="50"/>
      <c r="B570" s="4"/>
      <c r="C570" s="188"/>
      <c r="D570" s="188"/>
      <c r="E570" s="52"/>
      <c r="F570" s="188"/>
      <c r="G570" s="39"/>
      <c r="H570" s="39"/>
      <c r="I570" s="189"/>
      <c r="J570" s="188"/>
      <c r="K570" s="189"/>
      <c r="L570" s="188"/>
      <c r="M570" s="227"/>
      <c r="N570" s="52"/>
    </row>
    <row r="571" spans="1:14" ht="15.75">
      <c r="A571" s="50"/>
      <c r="B571" s="4"/>
      <c r="C571" s="188"/>
      <c r="D571" s="188"/>
      <c r="E571" s="52"/>
      <c r="F571" s="188"/>
      <c r="G571" s="39"/>
      <c r="H571" s="39"/>
      <c r="I571" s="189"/>
      <c r="J571" s="188"/>
      <c r="K571" s="189"/>
      <c r="L571" s="188"/>
      <c r="M571" s="227"/>
      <c r="N571" s="52"/>
    </row>
    <row r="572" spans="1:14" ht="15.75">
      <c r="A572" s="50"/>
      <c r="B572" s="4"/>
      <c r="C572" s="188"/>
      <c r="D572" s="188"/>
      <c r="E572" s="52"/>
      <c r="F572" s="188"/>
      <c r="G572" s="39"/>
      <c r="H572" s="39"/>
      <c r="I572" s="189"/>
      <c r="J572" s="188"/>
      <c r="K572" s="189"/>
      <c r="L572" s="188"/>
      <c r="M572" s="227"/>
      <c r="N572" s="52"/>
    </row>
    <row r="573" spans="1:14" ht="15.75">
      <c r="A573" s="50"/>
      <c r="B573" s="4"/>
      <c r="C573" s="188"/>
      <c r="D573" s="188"/>
      <c r="E573" s="52"/>
      <c r="F573" s="188"/>
      <c r="G573" s="39"/>
      <c r="H573" s="39"/>
      <c r="I573" s="189"/>
      <c r="J573" s="188"/>
      <c r="K573" s="189"/>
      <c r="L573" s="188"/>
      <c r="M573" s="227"/>
      <c r="N573" s="52"/>
    </row>
    <row r="574" spans="1:14" ht="15.75">
      <c r="A574" s="50"/>
      <c r="B574" s="4"/>
      <c r="C574" s="188"/>
      <c r="D574" s="188"/>
      <c r="E574" s="52"/>
      <c r="F574" s="188"/>
      <c r="G574" s="39"/>
      <c r="H574" s="39"/>
      <c r="I574" s="189"/>
      <c r="J574" s="188"/>
      <c r="K574" s="189"/>
      <c r="L574" s="188"/>
      <c r="M574" s="227"/>
      <c r="N574" s="52"/>
    </row>
    <row r="575" spans="1:14" ht="15.75">
      <c r="A575" s="50"/>
      <c r="B575" s="4"/>
      <c r="C575" s="188"/>
      <c r="D575" s="188"/>
      <c r="E575" s="52"/>
      <c r="F575" s="188"/>
      <c r="G575" s="39"/>
      <c r="H575" s="39"/>
      <c r="I575" s="189"/>
      <c r="J575" s="188"/>
      <c r="K575" s="189"/>
      <c r="L575" s="188"/>
      <c r="M575" s="227"/>
      <c r="N575" s="52"/>
    </row>
    <row r="576" spans="1:14" ht="15.75">
      <c r="A576" s="50"/>
      <c r="B576" s="4"/>
      <c r="C576" s="188"/>
      <c r="D576" s="188"/>
      <c r="E576" s="52"/>
      <c r="F576" s="188"/>
      <c r="G576" s="39"/>
      <c r="H576" s="39"/>
      <c r="I576" s="189"/>
      <c r="J576" s="188"/>
      <c r="K576" s="189"/>
      <c r="L576" s="188"/>
      <c r="M576" s="227"/>
      <c r="N576" s="52"/>
    </row>
    <row r="577" spans="1:14" ht="15.75">
      <c r="A577" s="50"/>
      <c r="B577" s="4"/>
      <c r="C577" s="188"/>
      <c r="D577" s="188"/>
      <c r="E577" s="52"/>
      <c r="F577" s="188"/>
      <c r="G577" s="39"/>
      <c r="H577" s="39"/>
      <c r="I577" s="189"/>
      <c r="J577" s="188"/>
      <c r="K577" s="189"/>
      <c r="L577" s="188"/>
      <c r="M577" s="227"/>
      <c r="N577" s="52"/>
    </row>
    <row r="578" spans="1:14" ht="15.75">
      <c r="A578" s="50"/>
      <c r="B578" s="4"/>
      <c r="C578" s="188"/>
      <c r="D578" s="188"/>
      <c r="E578" s="52"/>
      <c r="F578" s="188"/>
      <c r="G578" s="39"/>
      <c r="H578" s="39"/>
      <c r="I578" s="189"/>
      <c r="J578" s="188"/>
      <c r="K578" s="189"/>
      <c r="L578" s="188"/>
      <c r="M578" s="227"/>
      <c r="N578" s="52"/>
    </row>
    <row r="579" spans="1:14" ht="15.75">
      <c r="A579" s="50"/>
      <c r="B579" s="4"/>
      <c r="C579" s="188"/>
      <c r="D579" s="188"/>
      <c r="E579" s="52"/>
      <c r="F579" s="188"/>
      <c r="G579" s="39"/>
      <c r="H579" s="39"/>
      <c r="I579" s="189"/>
      <c r="J579" s="188"/>
      <c r="K579" s="189"/>
      <c r="L579" s="188"/>
      <c r="M579" s="227"/>
      <c r="N579" s="52"/>
    </row>
    <row r="580" spans="1:14" ht="15.75">
      <c r="A580" s="50"/>
      <c r="B580" s="4"/>
      <c r="C580" s="188"/>
      <c r="D580" s="188"/>
      <c r="E580" s="52"/>
      <c r="F580" s="188"/>
      <c r="G580" s="39"/>
      <c r="H580" s="39"/>
      <c r="I580" s="189"/>
      <c r="J580" s="188"/>
      <c r="K580" s="189"/>
      <c r="L580" s="188"/>
      <c r="M580" s="227"/>
      <c r="N580" s="52"/>
    </row>
    <row r="581" spans="1:14" ht="15.75">
      <c r="A581" s="50"/>
      <c r="B581" s="4"/>
      <c r="C581" s="188"/>
      <c r="D581" s="188"/>
      <c r="E581" s="52"/>
      <c r="F581" s="188"/>
      <c r="G581" s="39"/>
      <c r="H581" s="39"/>
      <c r="I581" s="189"/>
      <c r="J581" s="188"/>
      <c r="K581" s="189"/>
      <c r="L581" s="188"/>
      <c r="M581" s="227"/>
      <c r="N581" s="52"/>
    </row>
    <row r="582" spans="1:14" ht="15.75">
      <c r="A582" s="50"/>
      <c r="B582" s="4"/>
      <c r="C582" s="188"/>
      <c r="D582" s="188"/>
      <c r="E582" s="52"/>
      <c r="F582" s="188"/>
      <c r="G582" s="39"/>
      <c r="H582" s="39"/>
      <c r="I582" s="189"/>
      <c r="J582" s="188"/>
      <c r="K582" s="189"/>
      <c r="L582" s="188"/>
      <c r="M582" s="227"/>
      <c r="N582" s="52"/>
    </row>
    <row r="583" spans="1:14" ht="15.75">
      <c r="A583" s="50"/>
      <c r="B583" s="4"/>
      <c r="C583" s="188"/>
      <c r="D583" s="188"/>
      <c r="E583" s="52"/>
      <c r="F583" s="188"/>
      <c r="G583" s="39"/>
      <c r="H583" s="39"/>
      <c r="I583" s="189"/>
      <c r="J583" s="188"/>
      <c r="K583" s="189"/>
      <c r="L583" s="188"/>
      <c r="M583" s="227"/>
      <c r="N583" s="52"/>
    </row>
    <row r="584" spans="1:14" ht="15.75">
      <c r="A584" s="50"/>
      <c r="B584" s="4"/>
      <c r="C584" s="188"/>
      <c r="D584" s="188"/>
      <c r="E584" s="52"/>
      <c r="F584" s="188"/>
      <c r="G584" s="39"/>
      <c r="H584" s="39"/>
      <c r="I584" s="189"/>
      <c r="J584" s="188"/>
      <c r="K584" s="189"/>
      <c r="L584" s="188"/>
      <c r="M584" s="227"/>
      <c r="N584" s="52"/>
    </row>
    <row r="585" spans="1:14" ht="15.75">
      <c r="A585" s="50"/>
      <c r="B585" s="4"/>
      <c r="C585" s="188"/>
      <c r="D585" s="188"/>
      <c r="E585" s="52"/>
      <c r="F585" s="188"/>
      <c r="G585" s="39"/>
      <c r="H585" s="39"/>
      <c r="I585" s="189"/>
      <c r="J585" s="188"/>
      <c r="K585" s="189"/>
      <c r="L585" s="188"/>
      <c r="M585" s="227"/>
      <c r="N585" s="52"/>
    </row>
    <row r="586" spans="1:14" ht="15.75">
      <c r="A586" s="50"/>
      <c r="B586" s="4"/>
      <c r="C586" s="188"/>
      <c r="D586" s="188"/>
      <c r="E586" s="52"/>
      <c r="F586" s="188"/>
      <c r="G586" s="39"/>
      <c r="H586" s="39"/>
      <c r="I586" s="189"/>
      <c r="J586" s="188"/>
      <c r="K586" s="189"/>
      <c r="L586" s="188"/>
      <c r="M586" s="227"/>
      <c r="N586" s="52"/>
    </row>
    <row r="587" spans="1:14" ht="15.75">
      <c r="A587" s="50"/>
      <c r="B587" s="4"/>
      <c r="C587" s="188"/>
      <c r="D587" s="188"/>
      <c r="E587" s="52"/>
      <c r="F587" s="188"/>
      <c r="G587" s="39"/>
      <c r="H587" s="39"/>
      <c r="I587" s="189"/>
      <c r="J587" s="188"/>
      <c r="K587" s="189"/>
      <c r="L587" s="188"/>
      <c r="M587" s="227"/>
      <c r="N587" s="52"/>
    </row>
    <row r="588" spans="1:14" ht="15.75">
      <c r="A588" s="50"/>
      <c r="B588" s="4"/>
      <c r="C588" s="188"/>
      <c r="D588" s="188"/>
      <c r="E588" s="52"/>
      <c r="F588" s="188"/>
      <c r="G588" s="39"/>
      <c r="H588" s="39"/>
      <c r="I588" s="189"/>
      <c r="J588" s="188"/>
      <c r="K588" s="189"/>
      <c r="L588" s="188"/>
      <c r="M588" s="227"/>
      <c r="N588" s="52"/>
    </row>
    <row r="589" spans="1:14" ht="15.75">
      <c r="A589" s="50"/>
      <c r="B589" s="4"/>
      <c r="C589" s="188"/>
      <c r="D589" s="188"/>
      <c r="E589" s="52"/>
      <c r="F589" s="188"/>
      <c r="G589" s="39"/>
      <c r="H589" s="39"/>
      <c r="I589" s="189"/>
      <c r="J589" s="188"/>
      <c r="K589" s="189"/>
      <c r="L589" s="188"/>
      <c r="M589" s="227"/>
      <c r="N589" s="52"/>
    </row>
    <row r="590" spans="1:14" ht="15.75">
      <c r="A590" s="50"/>
      <c r="B590" s="4"/>
      <c r="C590" s="188"/>
      <c r="D590" s="188"/>
      <c r="E590" s="52"/>
      <c r="F590" s="188"/>
      <c r="G590" s="39"/>
      <c r="H590" s="39"/>
      <c r="I590" s="189"/>
      <c r="J590" s="188"/>
      <c r="K590" s="189"/>
      <c r="L590" s="188"/>
      <c r="M590" s="227"/>
      <c r="N590" s="52"/>
    </row>
    <row r="591" spans="1:14" ht="15.75">
      <c r="A591" s="50"/>
      <c r="B591" s="4"/>
      <c r="C591" s="188"/>
      <c r="D591" s="188"/>
      <c r="E591" s="52"/>
      <c r="F591" s="188"/>
      <c r="G591" s="39"/>
      <c r="H591" s="39"/>
      <c r="I591" s="189"/>
      <c r="J591" s="188"/>
      <c r="K591" s="189"/>
      <c r="L591" s="188"/>
      <c r="M591" s="227"/>
      <c r="N591" s="52"/>
    </row>
    <row r="592" spans="1:14" ht="15.75">
      <c r="A592" s="50"/>
      <c r="B592" s="4"/>
      <c r="C592" s="188"/>
      <c r="D592" s="188"/>
      <c r="E592" s="52"/>
      <c r="F592" s="188"/>
      <c r="G592" s="39"/>
      <c r="H592" s="39"/>
      <c r="I592" s="189"/>
      <c r="J592" s="188"/>
      <c r="K592" s="189"/>
      <c r="L592" s="188"/>
      <c r="M592" s="227"/>
      <c r="N592" s="52"/>
    </row>
    <row r="593" spans="1:14" ht="15.75">
      <c r="A593" s="50"/>
      <c r="B593" s="4"/>
      <c r="C593" s="188"/>
      <c r="D593" s="188"/>
      <c r="E593" s="52"/>
      <c r="F593" s="188"/>
      <c r="G593" s="39"/>
      <c r="H593" s="39"/>
      <c r="I593" s="189"/>
      <c r="J593" s="188"/>
      <c r="K593" s="189"/>
      <c r="L593" s="188"/>
      <c r="M593" s="227"/>
      <c r="N593" s="52"/>
    </row>
    <row r="594" spans="1:14" ht="15.75">
      <c r="A594" s="50"/>
      <c r="B594" s="4"/>
      <c r="C594" s="188"/>
      <c r="D594" s="188"/>
      <c r="E594" s="52"/>
      <c r="F594" s="188"/>
      <c r="G594" s="39"/>
      <c r="H594" s="39"/>
      <c r="I594" s="189"/>
      <c r="J594" s="188"/>
      <c r="K594" s="189"/>
      <c r="L594" s="188"/>
      <c r="M594" s="227"/>
      <c r="N594" s="52"/>
    </row>
    <row r="595" spans="1:14" ht="15.75">
      <c r="A595" s="50"/>
      <c r="B595" s="4"/>
      <c r="C595" s="188"/>
      <c r="D595" s="188"/>
      <c r="E595" s="52"/>
      <c r="F595" s="188"/>
      <c r="G595" s="39"/>
      <c r="H595" s="39"/>
      <c r="I595" s="189"/>
      <c r="J595" s="188"/>
      <c r="K595" s="189"/>
      <c r="L595" s="188"/>
      <c r="M595" s="227"/>
      <c r="N595" s="52"/>
    </row>
    <row r="596" spans="1:14" ht="15.75">
      <c r="A596" s="50"/>
      <c r="B596" s="4"/>
      <c r="C596" s="188"/>
      <c r="D596" s="188"/>
      <c r="E596" s="52"/>
      <c r="F596" s="188"/>
      <c r="G596" s="39"/>
      <c r="H596" s="39"/>
      <c r="I596" s="189"/>
      <c r="J596" s="188"/>
      <c r="K596" s="189"/>
      <c r="L596" s="188"/>
      <c r="M596" s="227"/>
      <c r="N596" s="52"/>
    </row>
    <row r="597" spans="1:14" ht="15.75">
      <c r="A597" s="50"/>
      <c r="B597" s="4"/>
      <c r="C597" s="188"/>
      <c r="D597" s="188"/>
      <c r="E597" s="52"/>
      <c r="F597" s="188"/>
      <c r="G597" s="39"/>
      <c r="H597" s="39"/>
      <c r="I597" s="189"/>
      <c r="J597" s="188"/>
      <c r="K597" s="189"/>
      <c r="L597" s="188"/>
      <c r="M597" s="227"/>
      <c r="N597" s="52"/>
    </row>
    <row r="598" spans="1:14" ht="15.75">
      <c r="A598" s="50"/>
      <c r="B598" s="4"/>
      <c r="C598" s="188"/>
      <c r="D598" s="188"/>
      <c r="E598" s="52"/>
      <c r="F598" s="188"/>
      <c r="G598" s="39"/>
      <c r="H598" s="39"/>
      <c r="I598" s="189"/>
      <c r="J598" s="188"/>
      <c r="K598" s="189"/>
      <c r="L598" s="188"/>
      <c r="M598" s="227"/>
      <c r="N598" s="52"/>
    </row>
    <row r="599" spans="1:14" ht="15.75">
      <c r="A599" s="50"/>
      <c r="B599" s="4"/>
      <c r="C599" s="188"/>
      <c r="D599" s="188"/>
      <c r="E599" s="52"/>
      <c r="F599" s="188"/>
      <c r="G599" s="39"/>
      <c r="H599" s="39"/>
      <c r="I599" s="189"/>
      <c r="J599" s="188"/>
      <c r="K599" s="189"/>
      <c r="L599" s="188"/>
      <c r="M599" s="227"/>
      <c r="N599" s="52"/>
    </row>
    <row r="600" spans="1:14" ht="15.75">
      <c r="A600" s="50"/>
      <c r="B600" s="4"/>
      <c r="C600" s="188"/>
      <c r="D600" s="188"/>
      <c r="E600" s="52"/>
      <c r="F600" s="188"/>
      <c r="G600" s="39"/>
      <c r="H600" s="39"/>
      <c r="I600" s="189"/>
      <c r="J600" s="188"/>
      <c r="K600" s="189"/>
      <c r="L600" s="188"/>
      <c r="M600" s="227"/>
      <c r="N600" s="52"/>
    </row>
    <row r="601" spans="1:14" ht="15.75">
      <c r="A601" s="50"/>
      <c r="B601" s="4"/>
      <c r="C601" s="188"/>
      <c r="D601" s="188"/>
      <c r="E601" s="52"/>
      <c r="F601" s="188"/>
      <c r="G601" s="39"/>
      <c r="H601" s="39"/>
      <c r="I601" s="189"/>
      <c r="J601" s="188"/>
      <c r="K601" s="189"/>
      <c r="L601" s="188"/>
      <c r="M601" s="227"/>
      <c r="N601" s="52"/>
    </row>
    <row r="602" spans="1:14" ht="15.75">
      <c r="A602" s="50"/>
      <c r="B602" s="4"/>
      <c r="C602" s="188"/>
      <c r="D602" s="188"/>
      <c r="E602" s="52"/>
      <c r="F602" s="188"/>
      <c r="G602" s="39"/>
      <c r="H602" s="39"/>
      <c r="I602" s="189"/>
      <c r="J602" s="188"/>
      <c r="K602" s="189"/>
      <c r="L602" s="188"/>
      <c r="M602" s="227"/>
      <c r="N602" s="52"/>
    </row>
    <row r="603" spans="1:14" ht="15.75">
      <c r="A603" s="50"/>
      <c r="B603" s="4"/>
      <c r="C603" s="188"/>
      <c r="D603" s="188"/>
      <c r="E603" s="52"/>
      <c r="F603" s="188"/>
      <c r="G603" s="39"/>
      <c r="H603" s="39"/>
      <c r="I603" s="189"/>
      <c r="J603" s="188"/>
      <c r="K603" s="189"/>
      <c r="L603" s="188"/>
      <c r="M603" s="227"/>
      <c r="N603" s="52"/>
    </row>
    <row r="604" spans="1:14" ht="15.75">
      <c r="A604" s="50"/>
      <c r="B604" s="4"/>
      <c r="C604" s="188"/>
      <c r="D604" s="188"/>
      <c r="E604" s="52"/>
      <c r="F604" s="188"/>
      <c r="G604" s="39"/>
      <c r="H604" s="39"/>
      <c r="I604" s="189"/>
      <c r="J604" s="188"/>
      <c r="K604" s="189"/>
      <c r="L604" s="188"/>
      <c r="M604" s="227"/>
      <c r="N604" s="52"/>
    </row>
    <row r="605" spans="1:14" ht="15.75">
      <c r="A605" s="50"/>
      <c r="B605" s="4"/>
      <c r="C605" s="188"/>
      <c r="D605" s="188"/>
      <c r="E605" s="52"/>
      <c r="F605" s="188"/>
      <c r="G605" s="39"/>
      <c r="H605" s="39"/>
      <c r="I605" s="189"/>
      <c r="J605" s="188"/>
      <c r="K605" s="189"/>
      <c r="L605" s="188"/>
      <c r="M605" s="227"/>
      <c r="N605" s="52"/>
    </row>
    <row r="606" spans="1:14" ht="15.75">
      <c r="A606" s="50"/>
      <c r="B606" s="4"/>
      <c r="C606" s="188"/>
      <c r="D606" s="188"/>
      <c r="E606" s="52"/>
      <c r="F606" s="188"/>
      <c r="G606" s="39"/>
      <c r="H606" s="39"/>
      <c r="I606" s="189"/>
      <c r="J606" s="188"/>
      <c r="K606" s="189"/>
      <c r="L606" s="188"/>
      <c r="M606" s="227"/>
      <c r="N606" s="52"/>
    </row>
    <row r="607" spans="1:14" ht="15.75">
      <c r="A607" s="50"/>
      <c r="B607" s="4"/>
      <c r="C607" s="188"/>
      <c r="D607" s="188"/>
      <c r="E607" s="52"/>
      <c r="F607" s="188"/>
      <c r="G607" s="39"/>
      <c r="H607" s="39"/>
      <c r="I607" s="189"/>
      <c r="J607" s="188"/>
      <c r="K607" s="189"/>
      <c r="L607" s="188"/>
      <c r="M607" s="227"/>
      <c r="N607" s="52"/>
    </row>
    <row r="608" spans="1:14" ht="15.75">
      <c r="A608" s="50"/>
      <c r="B608" s="4"/>
      <c r="C608" s="188"/>
      <c r="D608" s="188"/>
      <c r="E608" s="52"/>
      <c r="F608" s="188"/>
      <c r="G608" s="39"/>
      <c r="H608" s="39"/>
      <c r="I608" s="189"/>
      <c r="J608" s="188"/>
      <c r="K608" s="189"/>
      <c r="L608" s="188"/>
      <c r="M608" s="227"/>
      <c r="N608" s="52"/>
    </row>
    <row r="609" spans="1:14" ht="15.75">
      <c r="A609" s="50"/>
      <c r="B609" s="4"/>
      <c r="C609" s="188"/>
      <c r="D609" s="188"/>
      <c r="E609" s="52"/>
      <c r="F609" s="188"/>
      <c r="G609" s="39"/>
      <c r="H609" s="39"/>
      <c r="I609" s="189"/>
      <c r="J609" s="188"/>
      <c r="K609" s="189"/>
      <c r="L609" s="188"/>
      <c r="M609" s="227"/>
      <c r="N609" s="52"/>
    </row>
    <row r="610" spans="1:14" ht="15.75">
      <c r="A610" s="50"/>
      <c r="B610" s="4"/>
      <c r="C610" s="188"/>
      <c r="D610" s="188"/>
      <c r="E610" s="52"/>
      <c r="F610" s="188"/>
      <c r="G610" s="39"/>
      <c r="H610" s="39"/>
      <c r="I610" s="189"/>
      <c r="J610" s="188"/>
      <c r="K610" s="189"/>
      <c r="L610" s="188"/>
      <c r="M610" s="227"/>
      <c r="N610" s="52"/>
    </row>
    <row r="611" spans="1:14" ht="15.75">
      <c r="A611" s="50"/>
      <c r="B611" s="4"/>
      <c r="C611" s="188"/>
      <c r="D611" s="188"/>
      <c r="E611" s="52"/>
      <c r="F611" s="188"/>
      <c r="G611" s="39"/>
      <c r="H611" s="39"/>
      <c r="I611" s="189"/>
      <c r="J611" s="188"/>
      <c r="K611" s="189"/>
      <c r="L611" s="188"/>
      <c r="M611" s="227"/>
      <c r="N611" s="52"/>
    </row>
    <row r="612" spans="1:14" ht="15.75">
      <c r="A612" s="50"/>
      <c r="B612" s="4"/>
      <c r="C612" s="188"/>
      <c r="D612" s="188"/>
      <c r="E612" s="52"/>
      <c r="F612" s="188"/>
      <c r="G612" s="39"/>
      <c r="H612" s="39"/>
      <c r="I612" s="189"/>
      <c r="J612" s="188"/>
      <c r="K612" s="189"/>
      <c r="L612" s="188"/>
      <c r="M612" s="227"/>
      <c r="N612" s="52"/>
    </row>
    <row r="613" spans="1:14" ht="15.75">
      <c r="A613" s="50"/>
      <c r="B613" s="4"/>
      <c r="C613" s="188"/>
      <c r="D613" s="188"/>
      <c r="E613" s="52"/>
      <c r="F613" s="188"/>
      <c r="G613" s="39"/>
      <c r="H613" s="39"/>
      <c r="I613" s="189"/>
      <c r="J613" s="188"/>
      <c r="K613" s="189"/>
      <c r="L613" s="188"/>
      <c r="M613" s="227"/>
      <c r="N613" s="52"/>
    </row>
    <row r="614" spans="1:14" ht="15.75">
      <c r="A614" s="50"/>
      <c r="B614" s="4"/>
      <c r="C614" s="188"/>
      <c r="D614" s="188"/>
      <c r="E614" s="52"/>
      <c r="F614" s="188"/>
      <c r="G614" s="39"/>
      <c r="H614" s="39"/>
      <c r="I614" s="189"/>
      <c r="J614" s="188"/>
      <c r="K614" s="189"/>
      <c r="L614" s="188"/>
      <c r="M614" s="227"/>
      <c r="N614" s="52"/>
    </row>
    <row r="615" spans="1:14" ht="15.75">
      <c r="A615" s="50"/>
      <c r="B615" s="4"/>
      <c r="C615" s="188"/>
      <c r="D615" s="188"/>
      <c r="E615" s="52"/>
      <c r="F615" s="188"/>
      <c r="G615" s="39"/>
      <c r="H615" s="39"/>
      <c r="I615" s="189"/>
      <c r="J615" s="188"/>
      <c r="K615" s="189"/>
      <c r="L615" s="188"/>
      <c r="M615" s="227"/>
      <c r="N615" s="52"/>
    </row>
    <row r="616" spans="1:14" ht="15.75">
      <c r="A616" s="50"/>
      <c r="B616" s="4"/>
      <c r="C616" s="188"/>
      <c r="D616" s="188"/>
      <c r="E616" s="52"/>
      <c r="F616" s="188"/>
      <c r="G616" s="39"/>
      <c r="H616" s="39"/>
      <c r="I616" s="189"/>
      <c r="J616" s="188"/>
      <c r="K616" s="189"/>
      <c r="L616" s="188"/>
      <c r="M616" s="227"/>
      <c r="N616" s="52"/>
    </row>
    <row r="617" spans="1:14" ht="15.75">
      <c r="A617" s="50"/>
      <c r="B617" s="4"/>
      <c r="C617" s="188"/>
      <c r="D617" s="188"/>
      <c r="E617" s="52"/>
      <c r="F617" s="188"/>
      <c r="G617" s="39"/>
      <c r="H617" s="39"/>
      <c r="I617" s="189"/>
      <c r="J617" s="188"/>
      <c r="K617" s="189"/>
      <c r="L617" s="188"/>
      <c r="M617" s="227"/>
      <c r="N617" s="52"/>
    </row>
    <row r="618" spans="1:14" ht="15.75">
      <c r="A618" s="50"/>
      <c r="B618" s="4"/>
      <c r="C618" s="188"/>
      <c r="D618" s="188"/>
      <c r="E618" s="52"/>
      <c r="F618" s="188"/>
      <c r="G618" s="39"/>
      <c r="H618" s="39"/>
      <c r="I618" s="189"/>
      <c r="J618" s="188"/>
      <c r="K618" s="189"/>
      <c r="L618" s="188"/>
      <c r="M618" s="227"/>
      <c r="N618" s="52"/>
    </row>
    <row r="619" spans="1:14" ht="15.75">
      <c r="A619" s="50"/>
      <c r="B619" s="4"/>
      <c r="C619" s="188"/>
      <c r="D619" s="188"/>
      <c r="E619" s="52"/>
      <c r="F619" s="188"/>
      <c r="G619" s="39"/>
      <c r="H619" s="39"/>
      <c r="I619" s="189"/>
      <c r="J619" s="188"/>
      <c r="K619" s="189"/>
      <c r="L619" s="188"/>
      <c r="M619" s="227"/>
      <c r="N619" s="52"/>
    </row>
    <row r="620" spans="1:14" ht="15.75">
      <c r="A620" s="50"/>
      <c r="B620" s="4"/>
      <c r="C620" s="188"/>
      <c r="D620" s="188"/>
      <c r="E620" s="52"/>
      <c r="F620" s="188"/>
      <c r="G620" s="39"/>
      <c r="H620" s="39"/>
      <c r="I620" s="189"/>
      <c r="J620" s="188"/>
      <c r="K620" s="189"/>
      <c r="L620" s="188"/>
      <c r="M620" s="227"/>
      <c r="N620" s="52"/>
    </row>
    <row r="621" spans="1:14" ht="15.75">
      <c r="A621" s="50"/>
      <c r="B621" s="4"/>
      <c r="C621" s="188"/>
      <c r="D621" s="188"/>
      <c r="E621" s="52"/>
      <c r="F621" s="188"/>
      <c r="G621" s="39"/>
      <c r="H621" s="39"/>
      <c r="I621" s="189"/>
      <c r="J621" s="188"/>
      <c r="K621" s="189"/>
      <c r="L621" s="188"/>
      <c r="M621" s="227"/>
      <c r="N621" s="52"/>
    </row>
    <row r="622" spans="1:14" ht="15.75">
      <c r="A622" s="50"/>
      <c r="B622" s="4"/>
      <c r="C622" s="188"/>
      <c r="D622" s="188"/>
      <c r="E622" s="52"/>
      <c r="F622" s="188"/>
      <c r="G622" s="39"/>
      <c r="H622" s="39"/>
      <c r="I622" s="189"/>
      <c r="J622" s="188"/>
      <c r="K622" s="189"/>
      <c r="L622" s="188"/>
      <c r="M622" s="227"/>
      <c r="N622" s="52"/>
    </row>
    <row r="623" spans="1:14" ht="15.75">
      <c r="A623" s="50"/>
      <c r="B623" s="4"/>
      <c r="C623" s="188"/>
      <c r="D623" s="188"/>
      <c r="E623" s="52"/>
      <c r="F623" s="188"/>
      <c r="G623" s="39"/>
      <c r="H623" s="39"/>
      <c r="I623" s="189"/>
      <c r="J623" s="188"/>
      <c r="K623" s="189"/>
      <c r="L623" s="188"/>
      <c r="M623" s="227"/>
      <c r="N623" s="52"/>
    </row>
    <row r="624" spans="1:14" ht="15.75">
      <c r="A624" s="50"/>
      <c r="B624" s="4"/>
      <c r="C624" s="188"/>
      <c r="D624" s="188"/>
      <c r="E624" s="52"/>
      <c r="F624" s="188"/>
      <c r="G624" s="39"/>
      <c r="H624" s="39"/>
      <c r="I624" s="189"/>
      <c r="J624" s="188"/>
      <c r="K624" s="189"/>
      <c r="L624" s="188"/>
      <c r="M624" s="227"/>
      <c r="N624" s="52"/>
    </row>
    <row r="625" spans="1:14" ht="15.75">
      <c r="A625" s="50"/>
      <c r="B625" s="4"/>
      <c r="C625" s="188"/>
      <c r="D625" s="188"/>
      <c r="E625" s="52"/>
      <c r="F625" s="188"/>
      <c r="G625" s="39"/>
      <c r="H625" s="39"/>
      <c r="I625" s="189"/>
      <c r="J625" s="188"/>
      <c r="K625" s="189"/>
      <c r="L625" s="188"/>
      <c r="M625" s="227"/>
      <c r="N625" s="52"/>
    </row>
    <row r="626" spans="1:14" ht="15.75">
      <c r="A626" s="50"/>
      <c r="B626" s="4"/>
      <c r="C626" s="188"/>
      <c r="D626" s="188"/>
      <c r="E626" s="52"/>
      <c r="F626" s="188"/>
      <c r="G626" s="39"/>
      <c r="H626" s="39"/>
      <c r="I626" s="189"/>
      <c r="J626" s="188"/>
      <c r="K626" s="189"/>
      <c r="L626" s="188"/>
      <c r="M626" s="227"/>
      <c r="N626" s="52"/>
    </row>
    <row r="627" spans="1:14" ht="15.75">
      <c r="A627" s="50"/>
      <c r="B627" s="4"/>
      <c r="C627" s="188"/>
      <c r="D627" s="188"/>
      <c r="E627" s="52"/>
      <c r="F627" s="188"/>
      <c r="G627" s="39"/>
      <c r="H627" s="39"/>
      <c r="I627" s="189"/>
      <c r="J627" s="188"/>
      <c r="K627" s="189"/>
      <c r="L627" s="188"/>
      <c r="M627" s="227"/>
      <c r="N627" s="52"/>
    </row>
    <row r="628" spans="1:14" ht="15.75">
      <c r="A628" s="50"/>
      <c r="B628" s="4"/>
      <c r="C628" s="188"/>
      <c r="D628" s="188"/>
      <c r="E628" s="52"/>
      <c r="F628" s="188"/>
      <c r="G628" s="39"/>
      <c r="H628" s="39"/>
      <c r="I628" s="189"/>
      <c r="J628" s="188"/>
      <c r="K628" s="189"/>
      <c r="L628" s="188"/>
      <c r="M628" s="227"/>
      <c r="N628" s="52"/>
    </row>
    <row r="629" spans="1:14" ht="15.75">
      <c r="A629" s="50"/>
      <c r="B629" s="4"/>
      <c r="C629" s="188"/>
      <c r="D629" s="188"/>
      <c r="E629" s="52"/>
      <c r="F629" s="188"/>
      <c r="G629" s="39"/>
      <c r="H629" s="39"/>
      <c r="I629" s="189"/>
      <c r="J629" s="188"/>
      <c r="K629" s="189"/>
      <c r="L629" s="188"/>
      <c r="M629" s="227"/>
      <c r="N629" s="52"/>
    </row>
    <row r="630" spans="1:14" ht="15.75">
      <c r="A630" s="50"/>
      <c r="B630" s="4"/>
      <c r="C630" s="188"/>
      <c r="D630" s="188"/>
      <c r="E630" s="52"/>
      <c r="F630" s="188"/>
      <c r="G630" s="39"/>
      <c r="H630" s="39"/>
      <c r="I630" s="189"/>
      <c r="J630" s="188"/>
      <c r="K630" s="189"/>
      <c r="L630" s="188"/>
      <c r="M630" s="227"/>
      <c r="N630" s="52"/>
    </row>
    <row r="631" spans="1:14" ht="15.75">
      <c r="A631" s="50"/>
      <c r="B631" s="4"/>
      <c r="C631" s="188"/>
      <c r="D631" s="188"/>
      <c r="E631" s="52"/>
      <c r="F631" s="188"/>
      <c r="G631" s="39"/>
      <c r="H631" s="39"/>
      <c r="I631" s="189"/>
      <c r="J631" s="188"/>
      <c r="K631" s="189"/>
      <c r="L631" s="188"/>
      <c r="M631" s="227"/>
      <c r="N631" s="52"/>
    </row>
    <row r="632" spans="1:14" ht="15.75">
      <c r="A632" s="50"/>
      <c r="B632" s="4"/>
      <c r="C632" s="188"/>
      <c r="D632" s="188"/>
      <c r="E632" s="52"/>
      <c r="F632" s="188"/>
      <c r="G632" s="39"/>
      <c r="H632" s="39"/>
      <c r="I632" s="189"/>
      <c r="J632" s="188"/>
      <c r="K632" s="189"/>
      <c r="L632" s="188"/>
      <c r="M632" s="227"/>
      <c r="N632" s="52"/>
    </row>
    <row r="633" spans="1:14" ht="15.75">
      <c r="A633" s="50"/>
      <c r="B633" s="4"/>
      <c r="C633" s="188"/>
      <c r="D633" s="188"/>
      <c r="E633" s="52"/>
      <c r="F633" s="188"/>
      <c r="G633" s="39"/>
      <c r="H633" s="39"/>
      <c r="I633" s="189"/>
      <c r="J633" s="188"/>
      <c r="K633" s="189"/>
      <c r="L633" s="188"/>
      <c r="M633" s="227"/>
      <c r="N633" s="52"/>
    </row>
    <row r="634" spans="1:14" ht="15.75">
      <c r="A634" s="50"/>
      <c r="B634" s="4"/>
      <c r="C634" s="188"/>
      <c r="D634" s="188"/>
      <c r="E634" s="52"/>
      <c r="F634" s="188"/>
      <c r="G634" s="39"/>
      <c r="H634" s="39"/>
      <c r="I634" s="189"/>
      <c r="J634" s="188"/>
      <c r="K634" s="189"/>
      <c r="L634" s="188"/>
      <c r="M634" s="227"/>
      <c r="N634" s="52"/>
    </row>
    <row r="635" spans="1:14" ht="15.75">
      <c r="A635" s="50"/>
      <c r="B635" s="4"/>
      <c r="C635" s="188"/>
      <c r="D635" s="188"/>
      <c r="E635" s="52"/>
      <c r="F635" s="188"/>
      <c r="G635" s="39"/>
      <c r="H635" s="39"/>
      <c r="I635" s="189"/>
      <c r="J635" s="188"/>
      <c r="K635" s="189"/>
      <c r="L635" s="188"/>
      <c r="M635" s="227"/>
      <c r="N635" s="52"/>
    </row>
    <row r="636" spans="1:14" ht="15.75">
      <c r="A636" s="50"/>
      <c r="B636" s="4"/>
      <c r="C636" s="188"/>
      <c r="D636" s="188"/>
      <c r="E636" s="52"/>
      <c r="F636" s="188"/>
      <c r="G636" s="39"/>
      <c r="H636" s="39"/>
      <c r="I636" s="189"/>
      <c r="J636" s="188"/>
      <c r="K636" s="189"/>
      <c r="L636" s="188"/>
      <c r="M636" s="227"/>
      <c r="N636" s="52"/>
    </row>
    <row r="637" spans="1:14" ht="15.75">
      <c r="A637" s="50"/>
      <c r="B637" s="4"/>
      <c r="C637" s="188"/>
      <c r="D637" s="188"/>
      <c r="E637" s="52"/>
      <c r="F637" s="188"/>
      <c r="G637" s="39"/>
      <c r="H637" s="39"/>
      <c r="I637" s="189"/>
      <c r="J637" s="188"/>
      <c r="K637" s="189"/>
      <c r="L637" s="188"/>
      <c r="M637" s="227"/>
      <c r="N637" s="52"/>
    </row>
    <row r="638" spans="1:14" ht="15.75">
      <c r="A638" s="50"/>
      <c r="B638" s="4"/>
      <c r="C638" s="188"/>
      <c r="D638" s="188"/>
      <c r="E638" s="52"/>
      <c r="F638" s="188"/>
      <c r="G638" s="39"/>
      <c r="H638" s="39"/>
      <c r="I638" s="189"/>
      <c r="J638" s="188"/>
      <c r="K638" s="189"/>
      <c r="L638" s="188"/>
      <c r="M638" s="227"/>
      <c r="N638" s="52"/>
    </row>
    <row r="639" spans="1:14" ht="15.75">
      <c r="A639" s="50"/>
      <c r="B639" s="4"/>
      <c r="C639" s="188"/>
      <c r="D639" s="188"/>
      <c r="E639" s="52"/>
      <c r="F639" s="188"/>
      <c r="G639" s="39"/>
      <c r="H639" s="39"/>
      <c r="I639" s="189"/>
      <c r="J639" s="188"/>
      <c r="K639" s="189"/>
      <c r="L639" s="188"/>
      <c r="M639" s="227"/>
      <c r="N639" s="52"/>
    </row>
    <row r="640" spans="1:14" ht="15.75">
      <c r="A640" s="50"/>
      <c r="B640" s="4"/>
      <c r="C640" s="188"/>
      <c r="D640" s="188"/>
      <c r="E640" s="52"/>
      <c r="F640" s="188"/>
      <c r="G640" s="39"/>
      <c r="H640" s="39"/>
      <c r="I640" s="189"/>
      <c r="J640" s="188"/>
      <c r="K640" s="189"/>
      <c r="L640" s="188"/>
      <c r="M640" s="227"/>
      <c r="N640" s="52"/>
    </row>
    <row r="641" spans="1:14" ht="15.75">
      <c r="A641" s="50"/>
      <c r="B641" s="4"/>
      <c r="C641" s="188"/>
      <c r="D641" s="188"/>
      <c r="E641" s="52"/>
      <c r="F641" s="188"/>
      <c r="G641" s="39"/>
      <c r="H641" s="39"/>
      <c r="I641" s="189"/>
      <c r="J641" s="188"/>
      <c r="K641" s="189"/>
      <c r="L641" s="188"/>
      <c r="M641" s="227"/>
      <c r="N641" s="52"/>
    </row>
    <row r="642" spans="1:14" ht="15.75">
      <c r="A642" s="50"/>
      <c r="B642" s="4"/>
      <c r="C642" s="188"/>
      <c r="D642" s="188"/>
      <c r="E642" s="52"/>
      <c r="F642" s="188"/>
      <c r="G642" s="39"/>
      <c r="H642" s="39"/>
      <c r="I642" s="189"/>
      <c r="J642" s="188"/>
      <c r="K642" s="189"/>
      <c r="L642" s="188"/>
      <c r="M642" s="227"/>
      <c r="N642" s="52"/>
    </row>
    <row r="643" spans="1:14" ht="15.75">
      <c r="A643" s="50"/>
      <c r="B643" s="4"/>
      <c r="C643" s="188"/>
      <c r="D643" s="188"/>
      <c r="E643" s="52"/>
      <c r="F643" s="188"/>
      <c r="G643" s="39"/>
      <c r="H643" s="39"/>
      <c r="I643" s="189"/>
      <c r="J643" s="188"/>
      <c r="K643" s="189"/>
      <c r="L643" s="188"/>
      <c r="M643" s="227"/>
      <c r="N643" s="52"/>
    </row>
    <row r="644" spans="1:14" ht="15.75">
      <c r="A644" s="50"/>
      <c r="B644" s="4"/>
      <c r="C644" s="188"/>
      <c r="D644" s="188"/>
      <c r="E644" s="52"/>
      <c r="F644" s="188"/>
      <c r="G644" s="39"/>
      <c r="H644" s="39"/>
      <c r="I644" s="189"/>
      <c r="J644" s="188"/>
      <c r="K644" s="189"/>
      <c r="L644" s="188"/>
      <c r="M644" s="227"/>
      <c r="N644" s="52"/>
    </row>
    <row r="645" spans="1:14" ht="15.75">
      <c r="A645" s="50"/>
      <c r="B645" s="4"/>
      <c r="C645" s="188"/>
      <c r="D645" s="188"/>
      <c r="E645" s="52"/>
      <c r="F645" s="188"/>
      <c r="G645" s="39"/>
      <c r="H645" s="39"/>
      <c r="I645" s="189"/>
      <c r="J645" s="188"/>
      <c r="K645" s="189"/>
      <c r="L645" s="188"/>
      <c r="M645" s="227"/>
      <c r="N645" s="52"/>
    </row>
    <row r="646" spans="1:14" ht="15.75">
      <c r="A646" s="50"/>
      <c r="B646" s="4"/>
      <c r="C646" s="188"/>
      <c r="D646" s="188"/>
      <c r="E646" s="52"/>
      <c r="F646" s="188"/>
      <c r="G646" s="39"/>
      <c r="H646" s="39"/>
      <c r="I646" s="189"/>
      <c r="J646" s="188"/>
      <c r="K646" s="189"/>
      <c r="L646" s="188"/>
      <c r="M646" s="227"/>
      <c r="N646" s="52"/>
    </row>
    <row r="647" spans="1:14" ht="15.75">
      <c r="A647" s="50"/>
      <c r="B647" s="4"/>
      <c r="C647" s="188"/>
      <c r="D647" s="188"/>
      <c r="E647" s="52"/>
      <c r="F647" s="188"/>
      <c r="G647" s="39"/>
      <c r="H647" s="39"/>
      <c r="I647" s="189"/>
      <c r="J647" s="188"/>
      <c r="K647" s="189"/>
      <c r="L647" s="188"/>
      <c r="M647" s="227"/>
      <c r="N647" s="52"/>
    </row>
    <row r="648" spans="1:14" ht="15.75">
      <c r="A648" s="50"/>
      <c r="B648" s="4"/>
      <c r="C648" s="188"/>
      <c r="D648" s="188"/>
      <c r="E648" s="52"/>
      <c r="F648" s="188"/>
      <c r="G648" s="39"/>
      <c r="H648" s="39"/>
      <c r="I648" s="189"/>
      <c r="J648" s="188"/>
      <c r="K648" s="189"/>
      <c r="L648" s="188"/>
      <c r="M648" s="227"/>
      <c r="N648" s="52"/>
    </row>
    <row r="649" spans="1:14" ht="15.75">
      <c r="A649" s="50"/>
      <c r="B649" s="4"/>
      <c r="C649" s="188"/>
      <c r="D649" s="188"/>
      <c r="E649" s="52"/>
      <c r="F649" s="188"/>
      <c r="G649" s="39"/>
      <c r="H649" s="39"/>
      <c r="I649" s="189"/>
      <c r="J649" s="188"/>
      <c r="K649" s="189"/>
      <c r="L649" s="188"/>
      <c r="M649" s="227"/>
      <c r="N649" s="52"/>
    </row>
    <row r="650" spans="1:14" ht="15.75">
      <c r="A650" s="50"/>
      <c r="B650" s="4"/>
      <c r="C650" s="188"/>
      <c r="D650" s="188"/>
      <c r="E650" s="52"/>
      <c r="F650" s="188"/>
      <c r="G650" s="39"/>
      <c r="H650" s="39"/>
      <c r="I650" s="189"/>
      <c r="J650" s="188"/>
      <c r="K650" s="189"/>
      <c r="L650" s="188"/>
      <c r="M650" s="227"/>
      <c r="N650" s="52"/>
    </row>
    <row r="651" spans="1:14" ht="15.75">
      <c r="A651" s="50"/>
      <c r="B651" s="4"/>
      <c r="C651" s="188"/>
      <c r="D651" s="188"/>
      <c r="E651" s="52"/>
      <c r="F651" s="188"/>
      <c r="G651" s="39"/>
      <c r="H651" s="39"/>
      <c r="I651" s="189"/>
      <c r="J651" s="188"/>
      <c r="K651" s="189"/>
      <c r="L651" s="188"/>
      <c r="M651" s="227"/>
      <c r="N651" s="52"/>
    </row>
    <row r="652" spans="1:14" ht="15.75">
      <c r="A652" s="50"/>
      <c r="B652" s="4"/>
      <c r="C652" s="188"/>
      <c r="D652" s="188"/>
      <c r="E652" s="52"/>
      <c r="F652" s="188"/>
      <c r="G652" s="39"/>
      <c r="H652" s="39"/>
      <c r="I652" s="189"/>
      <c r="J652" s="188"/>
      <c r="K652" s="189"/>
      <c r="L652" s="188"/>
      <c r="M652" s="227"/>
      <c r="N652" s="52"/>
    </row>
    <row r="653" spans="1:14" ht="15.75">
      <c r="A653" s="50"/>
      <c r="B653" s="4"/>
      <c r="C653" s="188"/>
      <c r="D653" s="188"/>
      <c r="E653" s="52"/>
      <c r="F653" s="188"/>
      <c r="G653" s="39"/>
      <c r="H653" s="39"/>
      <c r="I653" s="189"/>
      <c r="J653" s="188"/>
      <c r="K653" s="189"/>
      <c r="L653" s="188"/>
      <c r="M653" s="227"/>
      <c r="N653" s="52"/>
    </row>
    <row r="654" spans="1:14" ht="15.75">
      <c r="A654" s="50"/>
      <c r="B654" s="4"/>
      <c r="C654" s="188"/>
      <c r="D654" s="188"/>
      <c r="E654" s="52"/>
      <c r="F654" s="188"/>
      <c r="G654" s="39"/>
      <c r="H654" s="39"/>
      <c r="I654" s="189"/>
      <c r="J654" s="188"/>
      <c r="K654" s="189"/>
      <c r="L654" s="188"/>
      <c r="M654" s="227"/>
      <c r="N654" s="52"/>
    </row>
    <row r="655" spans="1:14" ht="15.75">
      <c r="A655" s="50"/>
      <c r="B655" s="4"/>
      <c r="C655" s="188"/>
      <c r="D655" s="188"/>
      <c r="E655" s="52"/>
      <c r="F655" s="188"/>
      <c r="G655" s="39"/>
      <c r="H655" s="39"/>
      <c r="I655" s="189"/>
      <c r="J655" s="188"/>
      <c r="K655" s="189"/>
      <c r="L655" s="188"/>
      <c r="M655" s="227"/>
      <c r="N655" s="52"/>
    </row>
    <row r="656" spans="1:14" ht="15.75">
      <c r="A656" s="50"/>
      <c r="B656" s="4"/>
      <c r="C656" s="188"/>
      <c r="D656" s="188"/>
      <c r="E656" s="52"/>
      <c r="F656" s="188"/>
      <c r="G656" s="39"/>
      <c r="H656" s="39"/>
      <c r="I656" s="189"/>
      <c r="J656" s="188"/>
      <c r="K656" s="189"/>
      <c r="L656" s="188"/>
      <c r="M656" s="227"/>
      <c r="N656" s="52"/>
    </row>
    <row r="657" spans="1:14" ht="15.75">
      <c r="A657" s="50"/>
      <c r="B657" s="4"/>
      <c r="C657" s="188"/>
      <c r="D657" s="188"/>
      <c r="E657" s="52"/>
      <c r="F657" s="188"/>
      <c r="G657" s="39"/>
      <c r="H657" s="39"/>
      <c r="I657" s="189"/>
      <c r="J657" s="188"/>
      <c r="K657" s="189"/>
      <c r="L657" s="188"/>
      <c r="M657" s="227"/>
      <c r="N657" s="52"/>
    </row>
    <row r="658" spans="1:14" ht="15.75">
      <c r="A658" s="50"/>
      <c r="B658" s="4"/>
      <c r="C658" s="188"/>
      <c r="D658" s="188"/>
      <c r="E658" s="52"/>
      <c r="F658" s="188"/>
      <c r="G658" s="39"/>
      <c r="H658" s="39"/>
      <c r="I658" s="189"/>
      <c r="J658" s="188"/>
      <c r="K658" s="189"/>
      <c r="L658" s="188"/>
      <c r="M658" s="227"/>
      <c r="N658" s="52"/>
    </row>
    <row r="659" spans="1:14" ht="15.75">
      <c r="A659" s="50"/>
      <c r="B659" s="4"/>
      <c r="C659" s="188"/>
      <c r="D659" s="188"/>
      <c r="E659" s="52"/>
      <c r="F659" s="188"/>
      <c r="G659" s="39"/>
      <c r="H659" s="39"/>
      <c r="I659" s="189"/>
      <c r="J659" s="188"/>
      <c r="K659" s="189"/>
      <c r="L659" s="188"/>
      <c r="M659" s="227"/>
      <c r="N659" s="52"/>
    </row>
    <row r="660" spans="1:14" ht="15.75">
      <c r="A660" s="50"/>
      <c r="B660" s="4"/>
      <c r="C660" s="188"/>
      <c r="D660" s="188"/>
      <c r="E660" s="52"/>
      <c r="F660" s="188"/>
      <c r="G660" s="39"/>
      <c r="H660" s="39"/>
      <c r="I660" s="189"/>
      <c r="J660" s="188"/>
      <c r="K660" s="189"/>
      <c r="L660" s="188"/>
      <c r="M660" s="227"/>
      <c r="N660" s="52"/>
    </row>
    <row r="661" spans="1:14" ht="15.75">
      <c r="A661" s="50"/>
      <c r="B661" s="4"/>
      <c r="C661" s="188"/>
      <c r="D661" s="188"/>
      <c r="E661" s="52"/>
      <c r="F661" s="188"/>
      <c r="G661" s="39"/>
      <c r="H661" s="39"/>
      <c r="I661" s="189"/>
      <c r="J661" s="188"/>
      <c r="K661" s="189"/>
      <c r="L661" s="188"/>
      <c r="M661" s="227"/>
      <c r="N661" s="52"/>
    </row>
    <row r="662" spans="1:14" ht="15.75">
      <c r="A662" s="50"/>
      <c r="B662" s="4"/>
      <c r="C662" s="188"/>
      <c r="D662" s="188"/>
      <c r="E662" s="52"/>
      <c r="F662" s="188"/>
      <c r="G662" s="39"/>
      <c r="H662" s="39"/>
      <c r="I662" s="189"/>
      <c r="J662" s="188"/>
      <c r="K662" s="189"/>
      <c r="L662" s="188"/>
      <c r="M662" s="227"/>
      <c r="N662" s="52"/>
    </row>
    <row r="663" spans="1:14" ht="15.75">
      <c r="A663" s="50"/>
      <c r="B663" s="4"/>
      <c r="C663" s="188"/>
      <c r="D663" s="188"/>
      <c r="E663" s="52"/>
      <c r="F663" s="188"/>
      <c r="G663" s="39"/>
      <c r="H663" s="39"/>
      <c r="I663" s="189"/>
      <c r="J663" s="188"/>
      <c r="K663" s="189"/>
      <c r="L663" s="188"/>
      <c r="M663" s="227"/>
      <c r="N663" s="52"/>
    </row>
    <row r="664" spans="1:14" ht="15.75">
      <c r="A664" s="50"/>
      <c r="B664" s="4"/>
      <c r="C664" s="188"/>
      <c r="D664" s="188"/>
      <c r="E664" s="52"/>
      <c r="F664" s="188"/>
      <c r="G664" s="39"/>
      <c r="H664" s="39"/>
      <c r="I664" s="189"/>
      <c r="J664" s="188"/>
      <c r="K664" s="189"/>
      <c r="L664" s="188"/>
      <c r="M664" s="227"/>
      <c r="N664" s="52"/>
    </row>
    <row r="665" spans="1:14" ht="15.75">
      <c r="A665" s="50"/>
      <c r="B665" s="4"/>
      <c r="C665" s="188"/>
      <c r="D665" s="188"/>
      <c r="E665" s="52"/>
      <c r="F665" s="188"/>
      <c r="G665" s="39"/>
      <c r="H665" s="39"/>
      <c r="I665" s="189"/>
      <c r="J665" s="188"/>
      <c r="K665" s="189"/>
      <c r="L665" s="188"/>
      <c r="M665" s="227"/>
      <c r="N665" s="52"/>
    </row>
    <row r="666" spans="1:14" ht="15.75">
      <c r="A666" s="50"/>
      <c r="B666" s="4"/>
      <c r="C666" s="188"/>
      <c r="D666" s="188"/>
      <c r="E666" s="52"/>
      <c r="F666" s="188"/>
      <c r="G666" s="39"/>
      <c r="H666" s="39"/>
      <c r="I666" s="189"/>
      <c r="J666" s="188"/>
      <c r="K666" s="189"/>
      <c r="L666" s="188"/>
      <c r="M666" s="227"/>
      <c r="N666" s="52"/>
    </row>
    <row r="667" spans="1:14" ht="15.75">
      <c r="A667" s="50"/>
      <c r="B667" s="4"/>
      <c r="C667" s="188"/>
      <c r="D667" s="188"/>
      <c r="E667" s="52"/>
      <c r="F667" s="188"/>
      <c r="G667" s="39"/>
      <c r="H667" s="39"/>
      <c r="I667" s="189"/>
      <c r="J667" s="188"/>
      <c r="K667" s="189"/>
      <c r="L667" s="188"/>
      <c r="M667" s="227"/>
      <c r="N667" s="52"/>
    </row>
    <row r="668" spans="1:14" ht="15.75">
      <c r="A668" s="50"/>
      <c r="B668" s="4"/>
      <c r="C668" s="188"/>
      <c r="D668" s="188"/>
      <c r="E668" s="52"/>
      <c r="F668" s="188"/>
      <c r="G668" s="39"/>
      <c r="H668" s="39"/>
      <c r="I668" s="189"/>
      <c r="J668" s="188"/>
      <c r="K668" s="189"/>
      <c r="L668" s="188"/>
      <c r="M668" s="227"/>
      <c r="N668" s="52"/>
    </row>
    <row r="669" spans="1:14" ht="15.75">
      <c r="A669" s="50"/>
      <c r="B669" s="4"/>
      <c r="C669" s="188"/>
      <c r="D669" s="188"/>
      <c r="E669" s="52"/>
      <c r="F669" s="188"/>
      <c r="G669" s="39"/>
      <c r="H669" s="39"/>
      <c r="I669" s="189"/>
      <c r="J669" s="188"/>
      <c r="K669" s="189"/>
      <c r="L669" s="188"/>
      <c r="M669" s="227"/>
      <c r="N669" s="52"/>
    </row>
    <row r="670" spans="1:14" ht="15.75">
      <c r="A670" s="50"/>
      <c r="B670" s="4"/>
      <c r="C670" s="188"/>
      <c r="D670" s="188"/>
      <c r="E670" s="52"/>
      <c r="F670" s="188"/>
      <c r="G670" s="39"/>
      <c r="H670" s="39"/>
      <c r="I670" s="189"/>
      <c r="J670" s="188"/>
      <c r="K670" s="189"/>
      <c r="L670" s="188"/>
      <c r="M670" s="227"/>
      <c r="N670" s="52"/>
    </row>
    <row r="671" spans="1:14" ht="15.75">
      <c r="A671" s="50"/>
      <c r="B671" s="4"/>
      <c r="C671" s="188"/>
      <c r="D671" s="188"/>
      <c r="E671" s="52"/>
      <c r="F671" s="188"/>
      <c r="G671" s="39"/>
      <c r="H671" s="39"/>
      <c r="I671" s="189"/>
      <c r="J671" s="188"/>
      <c r="K671" s="189"/>
      <c r="L671" s="188"/>
      <c r="M671" s="227"/>
      <c r="N671" s="52"/>
    </row>
    <row r="672" spans="1:14" ht="15.75">
      <c r="A672" s="50"/>
      <c r="B672" s="4"/>
      <c r="C672" s="188"/>
      <c r="D672" s="188"/>
      <c r="E672" s="52"/>
      <c r="F672" s="188"/>
      <c r="G672" s="39"/>
      <c r="H672" s="39"/>
      <c r="I672" s="189"/>
      <c r="J672" s="188"/>
      <c r="K672" s="189"/>
      <c r="L672" s="188"/>
      <c r="M672" s="227"/>
      <c r="N672" s="52"/>
    </row>
    <row r="673" spans="1:14" ht="15.75">
      <c r="A673" s="50"/>
      <c r="B673" s="4"/>
      <c r="C673" s="188"/>
      <c r="D673" s="188"/>
      <c r="E673" s="52"/>
      <c r="F673" s="188"/>
      <c r="G673" s="39"/>
      <c r="H673" s="39"/>
      <c r="I673" s="189"/>
      <c r="J673" s="188"/>
      <c r="K673" s="189"/>
      <c r="L673" s="188"/>
      <c r="M673" s="227"/>
      <c r="N673" s="52"/>
    </row>
    <row r="674" spans="1:14" ht="15.75">
      <c r="A674" s="50"/>
      <c r="B674" s="4"/>
      <c r="C674" s="188"/>
      <c r="D674" s="188"/>
      <c r="E674" s="52"/>
      <c r="F674" s="188"/>
      <c r="G674" s="39"/>
      <c r="H674" s="39"/>
      <c r="I674" s="189"/>
      <c r="J674" s="188"/>
      <c r="K674" s="189"/>
      <c r="L674" s="188"/>
      <c r="M674" s="227"/>
      <c r="N674" s="52"/>
    </row>
    <row r="675" spans="1:14" ht="15.75">
      <c r="A675" s="50"/>
      <c r="B675" s="4"/>
      <c r="C675" s="188"/>
      <c r="D675" s="188"/>
      <c r="E675" s="52"/>
      <c r="F675" s="188"/>
      <c r="G675" s="39"/>
      <c r="H675" s="39"/>
      <c r="I675" s="189"/>
      <c r="J675" s="188"/>
      <c r="K675" s="189"/>
      <c r="L675" s="188"/>
      <c r="M675" s="227"/>
      <c r="N675" s="52"/>
    </row>
    <row r="676" spans="1:14" ht="15.75">
      <c r="A676" s="50"/>
      <c r="B676" s="4"/>
      <c r="C676" s="188"/>
      <c r="D676" s="188"/>
      <c r="E676" s="52"/>
      <c r="F676" s="188"/>
      <c r="G676" s="39"/>
      <c r="H676" s="39"/>
      <c r="I676" s="189"/>
      <c r="J676" s="188"/>
      <c r="K676" s="189"/>
      <c r="L676" s="188"/>
      <c r="M676" s="227"/>
      <c r="N676" s="52"/>
    </row>
    <row r="677" spans="1:14" ht="15.75">
      <c r="A677" s="50"/>
      <c r="B677" s="4"/>
      <c r="C677" s="188"/>
      <c r="D677" s="188"/>
      <c r="E677" s="52"/>
      <c r="F677" s="188"/>
      <c r="G677" s="39"/>
      <c r="H677" s="39"/>
      <c r="I677" s="189"/>
      <c r="J677" s="188"/>
      <c r="K677" s="189"/>
      <c r="L677" s="188"/>
      <c r="M677" s="227"/>
      <c r="N677" s="52"/>
    </row>
    <row r="678" spans="1:14" ht="15.75">
      <c r="A678" s="50"/>
      <c r="B678" s="4"/>
      <c r="C678" s="188"/>
      <c r="D678" s="188"/>
      <c r="E678" s="52"/>
      <c r="F678" s="188"/>
      <c r="G678" s="39"/>
      <c r="H678" s="39"/>
      <c r="I678" s="189"/>
      <c r="J678" s="188"/>
      <c r="K678" s="189"/>
      <c r="L678" s="188"/>
      <c r="M678" s="227"/>
      <c r="N678" s="52"/>
    </row>
    <row r="679" spans="1:14" ht="15.75">
      <c r="A679" s="50"/>
      <c r="B679" s="4"/>
      <c r="C679" s="188"/>
      <c r="D679" s="188"/>
      <c r="E679" s="52"/>
      <c r="F679" s="188"/>
      <c r="G679" s="39"/>
      <c r="H679" s="39"/>
      <c r="I679" s="189"/>
      <c r="J679" s="188"/>
      <c r="K679" s="189"/>
      <c r="L679" s="188"/>
      <c r="M679" s="227"/>
      <c r="N679" s="52"/>
    </row>
    <row r="680" spans="1:14" ht="15.75">
      <c r="A680" s="50"/>
      <c r="B680" s="4"/>
      <c r="C680" s="188"/>
      <c r="D680" s="188"/>
      <c r="E680" s="52"/>
      <c r="F680" s="188"/>
      <c r="G680" s="39"/>
      <c r="H680" s="39"/>
      <c r="I680" s="189"/>
      <c r="J680" s="188"/>
      <c r="K680" s="189"/>
      <c r="L680" s="188"/>
      <c r="M680" s="227"/>
      <c r="N680" s="52"/>
    </row>
    <row r="681" spans="1:14" ht="15.75">
      <c r="A681" s="50"/>
      <c r="B681" s="4"/>
      <c r="C681" s="188"/>
      <c r="D681" s="188"/>
      <c r="E681" s="52"/>
      <c r="F681" s="188"/>
      <c r="G681" s="39"/>
      <c r="H681" s="39"/>
      <c r="I681" s="189"/>
      <c r="J681" s="188"/>
      <c r="K681" s="189"/>
      <c r="L681" s="188"/>
      <c r="M681" s="227"/>
      <c r="N681" s="52"/>
    </row>
    <row r="682" spans="1:14" ht="15.75">
      <c r="A682" s="50"/>
      <c r="B682" s="4"/>
      <c r="C682" s="188"/>
      <c r="D682" s="188"/>
      <c r="E682" s="52"/>
      <c r="F682" s="188"/>
      <c r="G682" s="39"/>
      <c r="H682" s="39"/>
      <c r="I682" s="189"/>
      <c r="J682" s="188"/>
      <c r="K682" s="189"/>
      <c r="L682" s="188"/>
      <c r="M682" s="227"/>
      <c r="N682" s="52"/>
    </row>
    <row r="683" spans="1:14" ht="15.75">
      <c r="A683" s="50"/>
      <c r="B683" s="4"/>
      <c r="C683" s="188"/>
      <c r="D683" s="188"/>
      <c r="E683" s="52"/>
      <c r="F683" s="188"/>
      <c r="G683" s="39"/>
      <c r="H683" s="39"/>
      <c r="I683" s="189"/>
      <c r="J683" s="188"/>
      <c r="K683" s="189"/>
      <c r="L683" s="188"/>
      <c r="M683" s="227"/>
      <c r="N683" s="52"/>
    </row>
    <row r="684" spans="1:14" ht="15.75">
      <c r="A684" s="50"/>
      <c r="B684" s="4"/>
      <c r="C684" s="188"/>
      <c r="D684" s="188"/>
      <c r="E684" s="52"/>
      <c r="F684" s="188"/>
      <c r="G684" s="39"/>
      <c r="H684" s="39"/>
      <c r="I684" s="189"/>
      <c r="J684" s="188"/>
      <c r="K684" s="189"/>
      <c r="L684" s="188"/>
      <c r="M684" s="227"/>
      <c r="N684" s="52"/>
    </row>
    <row r="685" spans="1:14" ht="15.75">
      <c r="A685" s="50"/>
      <c r="B685" s="4"/>
      <c r="C685" s="188"/>
      <c r="D685" s="188"/>
      <c r="E685" s="52"/>
      <c r="F685" s="188"/>
      <c r="G685" s="39"/>
      <c r="H685" s="39"/>
      <c r="I685" s="189"/>
      <c r="J685" s="188"/>
      <c r="K685" s="189"/>
      <c r="L685" s="188"/>
      <c r="M685" s="227"/>
      <c r="N685" s="52"/>
    </row>
    <row r="686" spans="1:14" ht="15.75">
      <c r="A686" s="50"/>
      <c r="B686" s="4"/>
      <c r="C686" s="188"/>
      <c r="D686" s="188"/>
      <c r="E686" s="52"/>
      <c r="F686" s="188"/>
      <c r="G686" s="39"/>
      <c r="H686" s="39"/>
      <c r="I686" s="189"/>
      <c r="J686" s="188"/>
      <c r="K686" s="189"/>
      <c r="L686" s="188"/>
      <c r="M686" s="227"/>
      <c r="N686" s="52"/>
    </row>
    <row r="687" spans="1:14" ht="15.75">
      <c r="A687" s="50"/>
      <c r="B687" s="4"/>
      <c r="C687" s="188"/>
      <c r="D687" s="188"/>
      <c r="E687" s="52"/>
      <c r="F687" s="188"/>
      <c r="G687" s="39"/>
      <c r="H687" s="39"/>
      <c r="I687" s="189"/>
      <c r="J687" s="188"/>
      <c r="K687" s="189"/>
      <c r="L687" s="188"/>
      <c r="M687" s="227"/>
      <c r="N687" s="52"/>
    </row>
    <row r="688" spans="1:14" ht="15.75">
      <c r="A688" s="50"/>
      <c r="B688" s="4"/>
      <c r="C688" s="188"/>
      <c r="D688" s="188"/>
      <c r="E688" s="52"/>
      <c r="F688" s="188"/>
      <c r="G688" s="39"/>
      <c r="H688" s="39"/>
      <c r="I688" s="189"/>
      <c r="J688" s="188"/>
      <c r="K688" s="189"/>
      <c r="L688" s="188"/>
      <c r="M688" s="227"/>
      <c r="N688" s="52"/>
    </row>
    <row r="689" spans="1:14" ht="15.75">
      <c r="A689" s="50"/>
      <c r="B689" s="4"/>
      <c r="C689" s="188"/>
      <c r="D689" s="188"/>
      <c r="E689" s="52"/>
      <c r="F689" s="188"/>
      <c r="G689" s="39"/>
      <c r="H689" s="39"/>
      <c r="I689" s="189"/>
      <c r="J689" s="188"/>
      <c r="K689" s="189"/>
      <c r="L689" s="188"/>
      <c r="M689" s="227"/>
      <c r="N689" s="52"/>
    </row>
    <row r="690" spans="1:14" ht="15.75">
      <c r="A690" s="50"/>
      <c r="B690" s="4"/>
      <c r="C690" s="188"/>
      <c r="D690" s="188"/>
      <c r="E690" s="52"/>
      <c r="F690" s="188"/>
      <c r="G690" s="39"/>
      <c r="H690" s="39"/>
      <c r="I690" s="189"/>
      <c r="J690" s="188"/>
      <c r="K690" s="189"/>
      <c r="L690" s="188"/>
      <c r="M690" s="227"/>
      <c r="N690" s="52"/>
    </row>
    <row r="691" spans="1:14" ht="15.75">
      <c r="A691" s="50"/>
      <c r="B691" s="4"/>
      <c r="C691" s="188"/>
      <c r="D691" s="188"/>
      <c r="E691" s="52"/>
      <c r="F691" s="188"/>
      <c r="G691" s="39"/>
      <c r="H691" s="39"/>
      <c r="I691" s="189"/>
      <c r="J691" s="188"/>
      <c r="K691" s="189"/>
      <c r="L691" s="188"/>
      <c r="M691" s="227"/>
      <c r="N691" s="52"/>
    </row>
    <row r="692" spans="1:14" ht="15.75">
      <c r="A692" s="50"/>
      <c r="B692" s="4"/>
      <c r="C692" s="188"/>
      <c r="D692" s="188"/>
      <c r="E692" s="52"/>
      <c r="F692" s="188"/>
      <c r="G692" s="39"/>
      <c r="H692" s="39"/>
      <c r="I692" s="189"/>
      <c r="J692" s="188"/>
      <c r="K692" s="189"/>
      <c r="L692" s="188"/>
      <c r="M692" s="227"/>
      <c r="N692" s="52"/>
    </row>
    <row r="693" spans="1:14" ht="15.75">
      <c r="A693" s="50"/>
      <c r="B693" s="4"/>
      <c r="C693" s="188"/>
      <c r="D693" s="188"/>
      <c r="E693" s="52"/>
      <c r="F693" s="188"/>
      <c r="G693" s="39"/>
      <c r="H693" s="39"/>
      <c r="I693" s="189"/>
      <c r="J693" s="188"/>
      <c r="K693" s="189"/>
      <c r="L693" s="188"/>
      <c r="M693" s="227"/>
      <c r="N693" s="52"/>
    </row>
    <row r="694" spans="1:14" ht="15.75">
      <c r="A694" s="50"/>
      <c r="B694" s="4"/>
      <c r="C694" s="188"/>
      <c r="D694" s="188"/>
      <c r="E694" s="52"/>
      <c r="F694" s="188"/>
      <c r="G694" s="39"/>
      <c r="H694" s="39"/>
      <c r="I694" s="189"/>
      <c r="J694" s="188"/>
      <c r="K694" s="189"/>
      <c r="L694" s="188"/>
      <c r="M694" s="227"/>
      <c r="N694" s="52"/>
    </row>
    <row r="695" spans="1:14" ht="15.75">
      <c r="A695" s="50"/>
      <c r="B695" s="4"/>
      <c r="C695" s="188"/>
      <c r="D695" s="188"/>
      <c r="E695" s="52"/>
      <c r="F695" s="188"/>
      <c r="G695" s="39"/>
      <c r="H695" s="39"/>
      <c r="I695" s="189"/>
      <c r="J695" s="188"/>
      <c r="K695" s="189"/>
      <c r="L695" s="188"/>
      <c r="M695" s="227"/>
      <c r="N695" s="52"/>
    </row>
    <row r="696" spans="1:14" ht="15.75">
      <c r="A696" s="50"/>
      <c r="B696" s="4"/>
      <c r="C696" s="188"/>
      <c r="D696" s="188"/>
      <c r="E696" s="52"/>
      <c r="F696" s="188"/>
      <c r="G696" s="39"/>
      <c r="H696" s="39"/>
      <c r="I696" s="189"/>
      <c r="J696" s="188"/>
      <c r="K696" s="189"/>
      <c r="L696" s="188"/>
      <c r="M696" s="227"/>
      <c r="N696" s="52"/>
    </row>
    <row r="697" spans="1:14" ht="15.75">
      <c r="A697" s="50"/>
      <c r="B697" s="4"/>
      <c r="C697" s="188"/>
      <c r="D697" s="188"/>
      <c r="E697" s="52"/>
      <c r="F697" s="188"/>
      <c r="G697" s="39"/>
      <c r="H697" s="39"/>
      <c r="I697" s="189"/>
      <c r="J697" s="188"/>
      <c r="K697" s="189"/>
      <c r="L697" s="188"/>
      <c r="M697" s="227"/>
      <c r="N697" s="52"/>
    </row>
    <row r="698" spans="1:14" ht="15.75">
      <c r="A698" s="50"/>
      <c r="B698" s="4"/>
      <c r="C698" s="188"/>
      <c r="D698" s="188"/>
      <c r="E698" s="52"/>
      <c r="F698" s="188"/>
      <c r="G698" s="39"/>
      <c r="H698" s="39"/>
      <c r="I698" s="189"/>
      <c r="J698" s="188"/>
      <c r="K698" s="189"/>
      <c r="L698" s="188"/>
      <c r="M698" s="227"/>
      <c r="N698" s="52"/>
    </row>
    <row r="699" spans="1:14" ht="15.75">
      <c r="A699" s="50"/>
      <c r="B699" s="4"/>
      <c r="C699" s="188"/>
      <c r="D699" s="188"/>
      <c r="E699" s="52"/>
      <c r="F699" s="188"/>
      <c r="G699" s="39"/>
      <c r="H699" s="39"/>
      <c r="I699" s="189"/>
      <c r="J699" s="188"/>
      <c r="K699" s="189"/>
      <c r="L699" s="188"/>
      <c r="M699" s="227"/>
      <c r="N699" s="52"/>
    </row>
    <row r="700" spans="1:14" ht="15.75">
      <c r="A700" s="50"/>
      <c r="B700" s="4"/>
      <c r="C700" s="188"/>
      <c r="D700" s="188"/>
      <c r="E700" s="52"/>
      <c r="F700" s="188"/>
      <c r="G700" s="39"/>
      <c r="H700" s="39"/>
      <c r="I700" s="189"/>
      <c r="J700" s="188"/>
      <c r="K700" s="189"/>
      <c r="L700" s="188"/>
      <c r="M700" s="227"/>
      <c r="N700" s="52"/>
    </row>
    <row r="701" spans="1:14" ht="15.75">
      <c r="A701" s="50"/>
      <c r="B701" s="4"/>
      <c r="C701" s="188"/>
      <c r="D701" s="188"/>
      <c r="E701" s="52"/>
      <c r="F701" s="188"/>
      <c r="G701" s="39"/>
      <c r="H701" s="39"/>
      <c r="I701" s="189"/>
      <c r="J701" s="188"/>
      <c r="K701" s="189"/>
      <c r="L701" s="188"/>
      <c r="M701" s="227"/>
      <c r="N701" s="52"/>
    </row>
    <row r="702" spans="1:14" ht="15.75">
      <c r="A702" s="50"/>
      <c r="B702" s="4"/>
      <c r="C702" s="188"/>
      <c r="D702" s="188"/>
      <c r="E702" s="52"/>
      <c r="F702" s="188"/>
      <c r="G702" s="39"/>
      <c r="H702" s="39"/>
      <c r="I702" s="189"/>
      <c r="J702" s="188"/>
      <c r="K702" s="189"/>
      <c r="L702" s="188"/>
      <c r="M702" s="227"/>
      <c r="N702" s="52"/>
    </row>
    <row r="703" spans="1:14" ht="15.75">
      <c r="A703" s="50"/>
      <c r="B703" s="4"/>
      <c r="C703" s="188"/>
      <c r="D703" s="188"/>
      <c r="E703" s="52"/>
      <c r="F703" s="188"/>
      <c r="G703" s="39"/>
      <c r="H703" s="39"/>
      <c r="I703" s="189"/>
      <c r="J703" s="188"/>
      <c r="K703" s="189"/>
      <c r="L703" s="188"/>
      <c r="M703" s="227"/>
      <c r="N703" s="52"/>
    </row>
    <row r="704" spans="1:14" ht="15.75">
      <c r="A704" s="50"/>
      <c r="B704" s="4"/>
      <c r="C704" s="188"/>
      <c r="D704" s="188"/>
      <c r="E704" s="52"/>
      <c r="F704" s="188"/>
      <c r="G704" s="39"/>
      <c r="H704" s="39"/>
      <c r="I704" s="189"/>
      <c r="J704" s="188"/>
      <c r="K704" s="189"/>
      <c r="L704" s="188"/>
      <c r="M704" s="227"/>
      <c r="N704" s="52"/>
    </row>
    <row r="705" spans="1:14" ht="15.75">
      <c r="A705" s="50"/>
      <c r="B705" s="4"/>
      <c r="C705" s="188"/>
      <c r="D705" s="188"/>
      <c r="E705" s="52"/>
      <c r="F705" s="188"/>
      <c r="G705" s="39"/>
      <c r="H705" s="39"/>
      <c r="I705" s="189"/>
      <c r="J705" s="188"/>
      <c r="K705" s="189"/>
      <c r="L705" s="188"/>
      <c r="M705" s="227"/>
      <c r="N705" s="52"/>
    </row>
    <row r="706" spans="1:14" ht="15.75">
      <c r="A706" s="50"/>
      <c r="B706" s="4"/>
      <c r="C706" s="188"/>
      <c r="D706" s="188"/>
      <c r="E706" s="52"/>
      <c r="F706" s="188"/>
      <c r="G706" s="39"/>
      <c r="H706" s="39"/>
      <c r="I706" s="189"/>
      <c r="J706" s="188"/>
      <c r="K706" s="189"/>
      <c r="L706" s="188"/>
      <c r="M706" s="227"/>
      <c r="N706" s="52"/>
    </row>
    <row r="707" spans="1:14" ht="15.75">
      <c r="A707" s="50"/>
      <c r="B707" s="4"/>
      <c r="C707" s="188"/>
      <c r="D707" s="188"/>
      <c r="E707" s="52"/>
      <c r="F707" s="188"/>
      <c r="G707" s="39"/>
      <c r="H707" s="39"/>
      <c r="I707" s="189"/>
      <c r="J707" s="188"/>
      <c r="K707" s="189"/>
      <c r="L707" s="188"/>
      <c r="M707" s="227"/>
      <c r="N707" s="52"/>
    </row>
    <row r="708" spans="1:14" ht="15.75">
      <c r="A708" s="50"/>
      <c r="B708" s="4"/>
      <c r="C708" s="188"/>
      <c r="D708" s="188"/>
      <c r="E708" s="52"/>
      <c r="F708" s="188"/>
      <c r="G708" s="39"/>
      <c r="H708" s="39"/>
      <c r="I708" s="189"/>
      <c r="J708" s="188"/>
      <c r="K708" s="189"/>
      <c r="L708" s="188"/>
      <c r="M708" s="227"/>
      <c r="N708" s="52"/>
    </row>
    <row r="709" spans="1:14" ht="15.75">
      <c r="A709" s="50"/>
      <c r="B709" s="4"/>
      <c r="C709" s="188"/>
      <c r="D709" s="188"/>
      <c r="E709" s="52"/>
      <c r="F709" s="188"/>
      <c r="G709" s="39"/>
      <c r="H709" s="39"/>
      <c r="I709" s="189"/>
      <c r="J709" s="188"/>
      <c r="K709" s="189"/>
      <c r="L709" s="188"/>
      <c r="M709" s="227"/>
      <c r="N709" s="52"/>
    </row>
    <row r="710" spans="1:14" ht="15.75">
      <c r="A710" s="50"/>
      <c r="B710" s="4"/>
      <c r="C710" s="188"/>
      <c r="D710" s="188"/>
      <c r="E710" s="52"/>
      <c r="F710" s="188"/>
      <c r="G710" s="39"/>
      <c r="H710" s="39"/>
      <c r="I710" s="189"/>
      <c r="J710" s="188"/>
      <c r="K710" s="189"/>
      <c r="L710" s="188"/>
      <c r="M710" s="227"/>
      <c r="N710" s="52"/>
    </row>
    <row r="711" spans="1:14" ht="15.75">
      <c r="A711" s="50"/>
      <c r="B711" s="4"/>
      <c r="C711" s="188"/>
      <c r="D711" s="188"/>
      <c r="E711" s="52"/>
      <c r="F711" s="188"/>
      <c r="G711" s="39"/>
      <c r="H711" s="39"/>
      <c r="I711" s="189"/>
      <c r="J711" s="188"/>
      <c r="K711" s="189"/>
      <c r="L711" s="188"/>
      <c r="M711" s="227"/>
      <c r="N711" s="52"/>
    </row>
    <row r="712" spans="1:14" ht="15.75">
      <c r="A712" s="50"/>
      <c r="B712" s="4"/>
      <c r="C712" s="188"/>
      <c r="D712" s="188"/>
      <c r="E712" s="52"/>
      <c r="F712" s="188"/>
      <c r="G712" s="39"/>
      <c r="H712" s="39"/>
      <c r="I712" s="189"/>
      <c r="J712" s="188"/>
      <c r="K712" s="189"/>
      <c r="L712" s="188"/>
      <c r="M712" s="227"/>
      <c r="N712" s="52"/>
    </row>
    <row r="713" spans="1:14" ht="15.75">
      <c r="A713" s="50"/>
      <c r="B713" s="4"/>
      <c r="C713" s="188"/>
      <c r="D713" s="188"/>
      <c r="E713" s="52"/>
      <c r="F713" s="188"/>
      <c r="G713" s="39"/>
      <c r="H713" s="39"/>
      <c r="I713" s="189"/>
      <c r="J713" s="188"/>
      <c r="K713" s="189"/>
      <c r="L713" s="188"/>
      <c r="M713" s="227"/>
      <c r="N713" s="52"/>
    </row>
    <row r="714" spans="1:14" ht="15.75">
      <c r="A714" s="50"/>
      <c r="B714" s="4"/>
      <c r="C714" s="188"/>
      <c r="D714" s="188"/>
      <c r="E714" s="52"/>
      <c r="F714" s="188"/>
      <c r="G714" s="39"/>
      <c r="H714" s="39"/>
      <c r="I714" s="189"/>
      <c r="J714" s="188"/>
      <c r="K714" s="189"/>
      <c r="L714" s="188"/>
      <c r="M714" s="227"/>
      <c r="N714" s="52"/>
    </row>
    <row r="715" spans="1:14" ht="15.75">
      <c r="A715" s="50"/>
      <c r="B715" s="4"/>
      <c r="C715" s="188"/>
      <c r="D715" s="188"/>
      <c r="E715" s="52"/>
      <c r="F715" s="188"/>
      <c r="G715" s="39"/>
      <c r="H715" s="39"/>
      <c r="I715" s="189"/>
      <c r="J715" s="188"/>
      <c r="K715" s="189"/>
      <c r="L715" s="188"/>
      <c r="M715" s="227"/>
      <c r="N715" s="52"/>
    </row>
    <row r="716" spans="1:14" ht="15.75">
      <c r="A716" s="50"/>
      <c r="B716" s="4"/>
      <c r="C716" s="188"/>
      <c r="D716" s="188"/>
      <c r="E716" s="52"/>
      <c r="F716" s="188"/>
      <c r="G716" s="39"/>
      <c r="H716" s="39"/>
      <c r="I716" s="189"/>
      <c r="J716" s="188"/>
      <c r="K716" s="189"/>
      <c r="L716" s="188"/>
      <c r="M716" s="227"/>
      <c r="N716" s="52"/>
    </row>
    <row r="717" spans="1:14" ht="15.75">
      <c r="A717" s="50"/>
      <c r="B717" s="4"/>
      <c r="C717" s="188"/>
      <c r="D717" s="188"/>
      <c r="E717" s="52"/>
      <c r="F717" s="188"/>
      <c r="G717" s="39"/>
      <c r="H717" s="39"/>
      <c r="I717" s="189"/>
      <c r="J717" s="188"/>
      <c r="K717" s="189"/>
      <c r="L717" s="188"/>
      <c r="M717" s="227"/>
      <c r="N717" s="52"/>
    </row>
    <row r="718" spans="1:14" ht="15.75">
      <c r="A718" s="50"/>
      <c r="B718" s="4"/>
      <c r="C718" s="188"/>
      <c r="D718" s="188"/>
      <c r="E718" s="52"/>
      <c r="F718" s="188"/>
      <c r="G718" s="39"/>
      <c r="H718" s="39"/>
      <c r="I718" s="189"/>
      <c r="J718" s="188"/>
      <c r="K718" s="189"/>
      <c r="L718" s="188"/>
      <c r="M718" s="227"/>
      <c r="N718" s="52"/>
    </row>
    <row r="719" spans="1:14" ht="15.75">
      <c r="A719" s="50"/>
      <c r="B719" s="4"/>
      <c r="C719" s="188"/>
      <c r="D719" s="188"/>
      <c r="E719" s="52"/>
      <c r="F719" s="188"/>
      <c r="G719" s="39"/>
      <c r="H719" s="39"/>
      <c r="I719" s="189"/>
      <c r="J719" s="188"/>
      <c r="K719" s="189"/>
      <c r="L719" s="188"/>
      <c r="M719" s="227"/>
      <c r="N719" s="52"/>
    </row>
    <row r="720" spans="1:14" ht="15.75">
      <c r="A720" s="50"/>
      <c r="B720" s="4"/>
      <c r="C720" s="188"/>
      <c r="D720" s="188"/>
      <c r="E720" s="52"/>
      <c r="F720" s="188"/>
      <c r="G720" s="39"/>
      <c r="H720" s="39"/>
      <c r="I720" s="189"/>
      <c r="J720" s="188"/>
      <c r="K720" s="189"/>
      <c r="L720" s="188"/>
      <c r="M720" s="227"/>
      <c r="N720" s="52"/>
    </row>
    <row r="721" spans="1:14" ht="15.75">
      <c r="A721" s="50"/>
      <c r="B721" s="4"/>
      <c r="C721" s="188"/>
      <c r="D721" s="188"/>
      <c r="E721" s="52"/>
      <c r="F721" s="188"/>
      <c r="G721" s="39"/>
      <c r="H721" s="39"/>
      <c r="I721" s="189"/>
      <c r="J721" s="188"/>
      <c r="K721" s="189"/>
      <c r="L721" s="188"/>
      <c r="M721" s="227"/>
      <c r="N721" s="52"/>
    </row>
    <row r="722" spans="1:14" ht="15.75">
      <c r="A722" s="50"/>
      <c r="B722" s="4"/>
      <c r="C722" s="188"/>
      <c r="D722" s="188"/>
      <c r="E722" s="52"/>
      <c r="F722" s="188"/>
      <c r="G722" s="39"/>
      <c r="H722" s="39"/>
      <c r="I722" s="189"/>
      <c r="J722" s="188"/>
      <c r="K722" s="189"/>
      <c r="L722" s="188"/>
      <c r="M722" s="227"/>
      <c r="N722" s="52"/>
    </row>
    <row r="723" spans="1:14" ht="15.75">
      <c r="A723" s="50"/>
      <c r="B723" s="4"/>
      <c r="C723" s="188"/>
      <c r="D723" s="188"/>
      <c r="E723" s="52"/>
      <c r="F723" s="188"/>
      <c r="G723" s="39"/>
      <c r="H723" s="39"/>
      <c r="I723" s="189"/>
      <c r="J723" s="188"/>
      <c r="K723" s="189"/>
      <c r="L723" s="188"/>
      <c r="M723" s="227"/>
      <c r="N723" s="52"/>
    </row>
    <row r="724" spans="1:14" ht="15.75">
      <c r="A724" s="50"/>
      <c r="B724" s="4"/>
      <c r="C724" s="188"/>
      <c r="D724" s="188"/>
      <c r="E724" s="52"/>
      <c r="F724" s="188"/>
      <c r="G724" s="39"/>
      <c r="H724" s="39"/>
      <c r="I724" s="189"/>
      <c r="J724" s="188"/>
      <c r="K724" s="189"/>
      <c r="L724" s="188"/>
      <c r="M724" s="227"/>
      <c r="N724" s="52"/>
    </row>
    <row r="725" spans="1:14" ht="15.75">
      <c r="A725" s="50"/>
      <c r="B725" s="4"/>
      <c r="C725" s="188"/>
      <c r="D725" s="188"/>
      <c r="E725" s="52"/>
      <c r="F725" s="188"/>
      <c r="G725" s="39"/>
      <c r="H725" s="39"/>
      <c r="I725" s="189"/>
      <c r="J725" s="188"/>
      <c r="K725" s="189"/>
      <c r="L725" s="188"/>
      <c r="M725" s="227"/>
      <c r="N725" s="52"/>
    </row>
    <row r="726" spans="1:14" ht="15.75">
      <c r="A726" s="50"/>
      <c r="B726" s="4"/>
      <c r="C726" s="188"/>
      <c r="D726" s="188"/>
      <c r="E726" s="52"/>
      <c r="F726" s="188"/>
      <c r="G726" s="39"/>
      <c r="H726" s="39"/>
      <c r="I726" s="189"/>
      <c r="J726" s="188"/>
      <c r="K726" s="189"/>
      <c r="L726" s="188"/>
      <c r="M726" s="227"/>
      <c r="N726" s="52"/>
    </row>
    <row r="727" spans="1:14" ht="15.75">
      <c r="A727" s="50"/>
      <c r="B727" s="4"/>
      <c r="C727" s="188"/>
      <c r="D727" s="188"/>
      <c r="E727" s="52"/>
      <c r="F727" s="188"/>
      <c r="G727" s="39"/>
      <c r="H727" s="39"/>
      <c r="I727" s="189"/>
      <c r="J727" s="188"/>
      <c r="K727" s="189"/>
      <c r="L727" s="188"/>
      <c r="M727" s="227"/>
      <c r="N727" s="52"/>
    </row>
    <row r="728" spans="1:14" ht="15.75">
      <c r="A728" s="50"/>
      <c r="B728" s="4"/>
      <c r="C728" s="188"/>
      <c r="D728" s="188"/>
      <c r="E728" s="52"/>
      <c r="F728" s="188"/>
      <c r="G728" s="39"/>
      <c r="H728" s="39"/>
      <c r="I728" s="189"/>
      <c r="J728" s="188"/>
      <c r="K728" s="189"/>
      <c r="L728" s="188"/>
      <c r="M728" s="227"/>
      <c r="N728" s="52"/>
    </row>
    <row r="729" spans="1:14" ht="15.75">
      <c r="A729" s="50"/>
      <c r="B729" s="4"/>
      <c r="C729" s="188"/>
      <c r="D729" s="188"/>
      <c r="E729" s="52"/>
      <c r="F729" s="188"/>
      <c r="G729" s="39"/>
      <c r="H729" s="39"/>
      <c r="I729" s="189"/>
      <c r="J729" s="188"/>
      <c r="K729" s="189"/>
      <c r="L729" s="188"/>
      <c r="M729" s="227"/>
      <c r="N729" s="52"/>
    </row>
    <row r="730" spans="1:14" ht="15.75">
      <c r="A730" s="50"/>
      <c r="B730" s="4"/>
      <c r="C730" s="188"/>
      <c r="D730" s="188"/>
      <c r="E730" s="52"/>
      <c r="F730" s="188"/>
      <c r="G730" s="39"/>
      <c r="H730" s="39"/>
      <c r="I730" s="189"/>
      <c r="J730" s="188"/>
      <c r="K730" s="189"/>
      <c r="L730" s="188"/>
      <c r="M730" s="227"/>
      <c r="N730" s="52"/>
    </row>
    <row r="731" spans="1:14" ht="15.75">
      <c r="A731" s="50"/>
      <c r="B731" s="4"/>
      <c r="C731" s="188"/>
      <c r="D731" s="188"/>
      <c r="E731" s="52"/>
      <c r="F731" s="188"/>
      <c r="G731" s="39"/>
      <c r="H731" s="39"/>
      <c r="I731" s="189"/>
      <c r="J731" s="188"/>
      <c r="K731" s="189"/>
      <c r="L731" s="188"/>
      <c r="M731" s="227"/>
      <c r="N731" s="52"/>
    </row>
    <row r="732" spans="1:14" ht="15.75">
      <c r="A732" s="50"/>
      <c r="B732" s="4"/>
      <c r="C732" s="188"/>
      <c r="D732" s="188"/>
      <c r="E732" s="52"/>
      <c r="F732" s="188"/>
      <c r="G732" s="39"/>
      <c r="H732" s="39"/>
      <c r="I732" s="189"/>
      <c r="J732" s="188"/>
      <c r="K732" s="189"/>
      <c r="L732" s="188"/>
      <c r="M732" s="227"/>
      <c r="N732" s="52"/>
    </row>
    <row r="733" spans="1:14" ht="15.75">
      <c r="A733" s="50"/>
      <c r="B733" s="4"/>
      <c r="C733" s="188"/>
      <c r="D733" s="188"/>
      <c r="E733" s="52"/>
      <c r="F733" s="188"/>
      <c r="G733" s="39"/>
      <c r="H733" s="39"/>
      <c r="I733" s="189"/>
      <c r="J733" s="188"/>
      <c r="K733" s="189"/>
      <c r="L733" s="188"/>
      <c r="M733" s="227"/>
      <c r="N733" s="52"/>
    </row>
    <row r="734" spans="1:14" ht="15.75">
      <c r="A734" s="50"/>
      <c r="B734" s="4"/>
      <c r="C734" s="188"/>
      <c r="D734" s="188"/>
      <c r="E734" s="52"/>
      <c r="F734" s="188"/>
      <c r="G734" s="39"/>
      <c r="H734" s="39"/>
      <c r="I734" s="189"/>
      <c r="J734" s="188"/>
      <c r="K734" s="189"/>
      <c r="L734" s="188"/>
      <c r="M734" s="227"/>
      <c r="N734" s="52"/>
    </row>
    <row r="735" spans="1:14" ht="15.75">
      <c r="A735" s="50"/>
      <c r="B735" s="4"/>
      <c r="C735" s="188"/>
      <c r="D735" s="188"/>
      <c r="E735" s="52"/>
      <c r="F735" s="188"/>
      <c r="G735" s="39"/>
      <c r="H735" s="39"/>
      <c r="I735" s="189"/>
      <c r="J735" s="188"/>
      <c r="K735" s="189"/>
      <c r="L735" s="188"/>
      <c r="M735" s="227"/>
      <c r="N735" s="52"/>
    </row>
    <row r="736" spans="1:14" ht="15.75">
      <c r="A736" s="50"/>
      <c r="B736" s="4"/>
      <c r="C736" s="188"/>
      <c r="D736" s="188"/>
      <c r="E736" s="52"/>
      <c r="F736" s="188"/>
      <c r="G736" s="39"/>
      <c r="H736" s="39"/>
      <c r="I736" s="189"/>
      <c r="J736" s="188"/>
      <c r="K736" s="189"/>
      <c r="L736" s="188"/>
      <c r="M736" s="227"/>
      <c r="N736" s="52"/>
    </row>
    <row r="737" spans="1:14" ht="15.75">
      <c r="A737" s="50"/>
      <c r="B737" s="4"/>
      <c r="C737" s="188"/>
      <c r="D737" s="188"/>
      <c r="E737" s="52"/>
      <c r="F737" s="188"/>
      <c r="G737" s="39"/>
      <c r="H737" s="39"/>
      <c r="I737" s="189"/>
      <c r="J737" s="188"/>
      <c r="K737" s="189"/>
      <c r="L737" s="188"/>
      <c r="M737" s="227"/>
      <c r="N737" s="52"/>
    </row>
    <row r="738" spans="1:14" ht="15.75">
      <c r="A738" s="50"/>
      <c r="B738" s="4"/>
      <c r="C738" s="188"/>
      <c r="D738" s="188"/>
      <c r="E738" s="52"/>
      <c r="F738" s="188"/>
      <c r="G738" s="39"/>
      <c r="H738" s="39"/>
      <c r="I738" s="189"/>
      <c r="J738" s="188"/>
      <c r="K738" s="189"/>
      <c r="L738" s="188"/>
      <c r="M738" s="227"/>
      <c r="N738" s="52"/>
    </row>
    <row r="739" spans="1:14" ht="15.75">
      <c r="A739" s="50"/>
      <c r="B739" s="4"/>
      <c r="C739" s="188"/>
      <c r="D739" s="188"/>
      <c r="E739" s="52"/>
      <c r="F739" s="188"/>
      <c r="G739" s="39"/>
      <c r="H739" s="39"/>
      <c r="I739" s="189"/>
      <c r="J739" s="188"/>
      <c r="K739" s="189"/>
      <c r="L739" s="188"/>
      <c r="M739" s="227"/>
      <c r="N739" s="52"/>
    </row>
    <row r="740" spans="1:14" ht="15.75">
      <c r="A740" s="50"/>
      <c r="B740" s="4"/>
      <c r="C740" s="188"/>
      <c r="D740" s="188"/>
      <c r="E740" s="52"/>
      <c r="F740" s="188"/>
      <c r="G740" s="39"/>
      <c r="H740" s="39"/>
      <c r="I740" s="189"/>
      <c r="J740" s="188"/>
      <c r="K740" s="189"/>
      <c r="L740" s="188"/>
      <c r="M740" s="227"/>
      <c r="N740" s="52"/>
    </row>
    <row r="741" spans="1:14" ht="15.75">
      <c r="A741" s="50"/>
      <c r="B741" s="4"/>
      <c r="C741" s="188"/>
      <c r="D741" s="188"/>
      <c r="E741" s="52"/>
      <c r="F741" s="188"/>
      <c r="G741" s="39"/>
      <c r="H741" s="39"/>
      <c r="I741" s="189"/>
      <c r="J741" s="188"/>
      <c r="K741" s="189"/>
      <c r="L741" s="188"/>
      <c r="M741" s="227"/>
      <c r="N741" s="52"/>
    </row>
    <row r="742" spans="1:14" ht="15.75">
      <c r="A742" s="50"/>
      <c r="B742" s="4"/>
      <c r="C742" s="188"/>
      <c r="D742" s="188"/>
      <c r="E742" s="52"/>
      <c r="F742" s="188"/>
      <c r="G742" s="39"/>
      <c r="H742" s="39"/>
      <c r="I742" s="189"/>
      <c r="J742" s="188"/>
      <c r="K742" s="189"/>
      <c r="L742" s="188"/>
      <c r="M742" s="227"/>
      <c r="N742" s="52"/>
    </row>
    <row r="743" spans="1:14" ht="15.75">
      <c r="A743" s="50"/>
      <c r="B743" s="4"/>
      <c r="C743" s="188"/>
      <c r="D743" s="188"/>
      <c r="E743" s="52"/>
      <c r="F743" s="188"/>
      <c r="G743" s="39"/>
      <c r="H743" s="39"/>
      <c r="I743" s="189"/>
      <c r="J743" s="188"/>
      <c r="K743" s="189"/>
      <c r="L743" s="188"/>
      <c r="M743" s="227"/>
      <c r="N743" s="52"/>
    </row>
    <row r="744" spans="1:14" ht="15.75">
      <c r="A744" s="50"/>
      <c r="B744" s="4"/>
      <c r="C744" s="188"/>
      <c r="D744" s="188"/>
      <c r="E744" s="52"/>
      <c r="F744" s="188"/>
      <c r="G744" s="39"/>
      <c r="H744" s="39"/>
      <c r="I744" s="189"/>
      <c r="J744" s="188"/>
      <c r="K744" s="189"/>
      <c r="L744" s="188"/>
      <c r="M744" s="227"/>
      <c r="N744" s="52"/>
    </row>
    <row r="745" spans="1:14" ht="15.75">
      <c r="A745" s="50"/>
      <c r="B745" s="4"/>
      <c r="C745" s="188"/>
      <c r="D745" s="188"/>
      <c r="E745" s="52"/>
      <c r="F745" s="188"/>
      <c r="G745" s="39"/>
      <c r="H745" s="39"/>
      <c r="I745" s="189"/>
      <c r="J745" s="188"/>
      <c r="K745" s="189"/>
      <c r="L745" s="188"/>
      <c r="M745" s="227"/>
      <c r="N745" s="52"/>
    </row>
    <row r="746" spans="1:14" ht="15.75">
      <c r="A746" s="50"/>
      <c r="B746" s="4"/>
      <c r="C746" s="188"/>
      <c r="D746" s="188"/>
      <c r="E746" s="52"/>
      <c r="F746" s="188"/>
      <c r="G746" s="39"/>
      <c r="H746" s="39"/>
      <c r="I746" s="189"/>
      <c r="J746" s="188"/>
      <c r="K746" s="189"/>
      <c r="L746" s="188"/>
      <c r="M746" s="227"/>
      <c r="N746" s="52"/>
    </row>
    <row r="747" spans="1:14" ht="15.75">
      <c r="A747" s="50"/>
      <c r="B747" s="4"/>
      <c r="C747" s="188"/>
      <c r="D747" s="188"/>
      <c r="E747" s="52"/>
      <c r="F747" s="188"/>
      <c r="G747" s="39"/>
      <c r="H747" s="39"/>
      <c r="I747" s="189"/>
      <c r="J747" s="188"/>
      <c r="K747" s="189"/>
      <c r="L747" s="188"/>
      <c r="M747" s="227"/>
      <c r="N747" s="52"/>
    </row>
    <row r="748" spans="1:14" ht="15.75">
      <c r="A748" s="50"/>
      <c r="B748" s="4"/>
      <c r="C748" s="188"/>
      <c r="D748" s="188"/>
      <c r="E748" s="52"/>
      <c r="F748" s="188"/>
      <c r="G748" s="39"/>
      <c r="H748" s="39"/>
      <c r="I748" s="189"/>
      <c r="J748" s="188"/>
      <c r="K748" s="189"/>
      <c r="L748" s="188"/>
      <c r="M748" s="227"/>
      <c r="N748" s="52"/>
    </row>
    <row r="749" spans="1:14" ht="15.75">
      <c r="A749" s="50"/>
      <c r="B749" s="4"/>
      <c r="C749" s="188"/>
      <c r="D749" s="188"/>
      <c r="E749" s="52"/>
      <c r="F749" s="188"/>
      <c r="G749" s="39"/>
      <c r="H749" s="39"/>
      <c r="I749" s="189"/>
      <c r="J749" s="188"/>
      <c r="K749" s="189"/>
      <c r="L749" s="188"/>
      <c r="M749" s="227"/>
      <c r="N749" s="52"/>
    </row>
    <row r="750" spans="1:14" ht="15.75">
      <c r="A750" s="50"/>
      <c r="B750" s="4"/>
      <c r="C750" s="188"/>
      <c r="D750" s="188"/>
      <c r="E750" s="52"/>
      <c r="F750" s="188"/>
      <c r="G750" s="39"/>
      <c r="H750" s="39"/>
      <c r="I750" s="189"/>
      <c r="J750" s="188"/>
      <c r="K750" s="189"/>
      <c r="L750" s="188"/>
      <c r="M750" s="227"/>
      <c r="N750" s="52"/>
    </row>
    <row r="751" spans="1:14" ht="15.75">
      <c r="A751" s="50"/>
      <c r="B751" s="4"/>
      <c r="C751" s="188"/>
      <c r="D751" s="188"/>
      <c r="E751" s="52"/>
      <c r="F751" s="188"/>
      <c r="G751" s="39"/>
      <c r="H751" s="39"/>
      <c r="I751" s="189"/>
      <c r="J751" s="188"/>
      <c r="K751" s="189"/>
      <c r="L751" s="188"/>
      <c r="M751" s="227"/>
      <c r="N751" s="52"/>
    </row>
    <row r="752" spans="1:14" ht="15.75">
      <c r="A752" s="50"/>
      <c r="B752" s="4"/>
      <c r="C752" s="188"/>
      <c r="D752" s="188"/>
      <c r="E752" s="52"/>
      <c r="F752" s="188"/>
      <c r="G752" s="39"/>
      <c r="H752" s="39"/>
      <c r="I752" s="189"/>
      <c r="J752" s="188"/>
      <c r="K752" s="189"/>
      <c r="L752" s="188"/>
      <c r="M752" s="227"/>
      <c r="N752" s="52"/>
    </row>
    <row r="753" spans="1:14" ht="15.75">
      <c r="A753" s="50"/>
      <c r="B753" s="4"/>
      <c r="C753" s="188"/>
      <c r="D753" s="188"/>
      <c r="E753" s="52"/>
      <c r="F753" s="188"/>
      <c r="G753" s="39"/>
      <c r="H753" s="39"/>
      <c r="I753" s="189"/>
      <c r="J753" s="188"/>
      <c r="K753" s="189"/>
      <c r="L753" s="188"/>
      <c r="M753" s="227"/>
      <c r="N753" s="52"/>
    </row>
    <row r="754" spans="1:14" ht="15.75">
      <c r="A754" s="50"/>
      <c r="B754" s="4"/>
      <c r="C754" s="188"/>
      <c r="D754" s="188"/>
      <c r="E754" s="52"/>
      <c r="F754" s="188"/>
      <c r="G754" s="39"/>
      <c r="H754" s="39"/>
      <c r="I754" s="189"/>
      <c r="J754" s="188"/>
      <c r="K754" s="189"/>
      <c r="L754" s="188"/>
      <c r="M754" s="227"/>
      <c r="N754" s="52"/>
    </row>
    <row r="755" spans="1:14" ht="15.75">
      <c r="A755" s="50"/>
      <c r="B755" s="4"/>
      <c r="C755" s="188"/>
      <c r="D755" s="188"/>
      <c r="E755" s="52"/>
      <c r="F755" s="188"/>
      <c r="G755" s="39"/>
      <c r="H755" s="39"/>
      <c r="I755" s="189"/>
      <c r="J755" s="188"/>
      <c r="K755" s="189"/>
      <c r="L755" s="188"/>
      <c r="M755" s="227"/>
      <c r="N755" s="52"/>
    </row>
    <row r="756" spans="1:14" ht="15.75">
      <c r="A756" s="50"/>
      <c r="B756" s="4"/>
      <c r="C756" s="188"/>
      <c r="D756" s="188"/>
      <c r="E756" s="52"/>
      <c r="F756" s="188"/>
      <c r="G756" s="39"/>
      <c r="H756" s="39"/>
      <c r="I756" s="189"/>
      <c r="J756" s="188"/>
      <c r="K756" s="189"/>
      <c r="L756" s="188"/>
      <c r="M756" s="227"/>
      <c r="N756" s="52"/>
    </row>
    <row r="757" spans="1:14" ht="15.75">
      <c r="A757" s="50"/>
      <c r="B757" s="4"/>
      <c r="C757" s="188"/>
      <c r="D757" s="188"/>
      <c r="E757" s="52"/>
      <c r="F757" s="188"/>
      <c r="G757" s="39"/>
      <c r="H757" s="39"/>
      <c r="I757" s="189"/>
      <c r="J757" s="188"/>
      <c r="K757" s="189"/>
      <c r="L757" s="188"/>
      <c r="M757" s="227"/>
      <c r="N757" s="52"/>
    </row>
    <row r="758" spans="1:14" ht="15.75">
      <c r="A758" s="50"/>
      <c r="B758" s="4"/>
      <c r="C758" s="188"/>
      <c r="D758" s="188"/>
      <c r="E758" s="52"/>
      <c r="F758" s="188"/>
      <c r="G758" s="39"/>
      <c r="H758" s="39"/>
      <c r="I758" s="189"/>
      <c r="J758" s="188"/>
      <c r="K758" s="189"/>
      <c r="L758" s="188"/>
      <c r="M758" s="227"/>
      <c r="N758" s="52"/>
    </row>
    <row r="759" spans="1:14" ht="15.75">
      <c r="A759" s="50"/>
      <c r="B759" s="4"/>
      <c r="C759" s="188"/>
      <c r="D759" s="188"/>
      <c r="E759" s="52"/>
      <c r="F759" s="188"/>
      <c r="G759" s="39"/>
      <c r="H759" s="39"/>
      <c r="I759" s="189"/>
      <c r="J759" s="188"/>
      <c r="K759" s="189"/>
      <c r="L759" s="188"/>
      <c r="M759" s="227"/>
      <c r="N759" s="52"/>
    </row>
    <row r="760" spans="1:14" ht="15.75">
      <c r="A760" s="50"/>
      <c r="B760" s="4"/>
      <c r="C760" s="188"/>
      <c r="D760" s="188"/>
      <c r="E760" s="52"/>
      <c r="F760" s="188"/>
      <c r="G760" s="39"/>
      <c r="H760" s="39"/>
      <c r="I760" s="189"/>
      <c r="J760" s="188"/>
      <c r="K760" s="189"/>
      <c r="L760" s="188"/>
      <c r="M760" s="227"/>
      <c r="N760" s="52"/>
    </row>
    <row r="761" spans="1:14" ht="15.75">
      <c r="A761" s="50"/>
      <c r="B761" s="4"/>
      <c r="C761" s="188"/>
      <c r="D761" s="188"/>
      <c r="E761" s="52"/>
      <c r="F761" s="188"/>
      <c r="G761" s="39"/>
      <c r="H761" s="39"/>
      <c r="I761" s="189"/>
      <c r="J761" s="188"/>
      <c r="K761" s="189"/>
      <c r="L761" s="188"/>
      <c r="M761" s="227"/>
      <c r="N761" s="52"/>
    </row>
    <row r="762" spans="1:14" ht="15.75">
      <c r="A762" s="50"/>
      <c r="B762" s="4"/>
      <c r="C762" s="188"/>
      <c r="D762" s="188"/>
      <c r="E762" s="52"/>
      <c r="F762" s="188"/>
      <c r="G762" s="39"/>
      <c r="H762" s="39"/>
      <c r="I762" s="189"/>
      <c r="J762" s="188"/>
      <c r="K762" s="189"/>
      <c r="L762" s="188"/>
      <c r="M762" s="227"/>
      <c r="N762" s="52"/>
    </row>
    <row r="763" spans="1:14" ht="15.75">
      <c r="A763" s="50"/>
      <c r="B763" s="4"/>
      <c r="C763" s="188"/>
      <c r="D763" s="188"/>
      <c r="E763" s="52"/>
      <c r="F763" s="188"/>
      <c r="G763" s="39"/>
      <c r="H763" s="39"/>
      <c r="I763" s="189"/>
      <c r="J763" s="188"/>
      <c r="K763" s="189"/>
      <c r="L763" s="188"/>
      <c r="M763" s="227"/>
      <c r="N763" s="52"/>
    </row>
    <row r="764" spans="1:14" ht="15.75">
      <c r="A764" s="50"/>
      <c r="B764" s="4"/>
      <c r="C764" s="188"/>
      <c r="D764" s="188"/>
      <c r="E764" s="52"/>
      <c r="F764" s="188"/>
      <c r="G764" s="39"/>
      <c r="H764" s="39"/>
      <c r="I764" s="189"/>
      <c r="J764" s="188"/>
      <c r="K764" s="189"/>
      <c r="L764" s="188"/>
      <c r="M764" s="227"/>
      <c r="N764" s="52"/>
    </row>
    <row r="765" spans="1:14" ht="15.75">
      <c r="A765" s="50"/>
      <c r="B765" s="4"/>
      <c r="C765" s="188"/>
      <c r="D765" s="188"/>
      <c r="E765" s="52"/>
      <c r="F765" s="188"/>
      <c r="G765" s="39"/>
      <c r="H765" s="39"/>
      <c r="I765" s="189"/>
      <c r="J765" s="188"/>
      <c r="K765" s="189"/>
      <c r="L765" s="188"/>
      <c r="M765" s="227"/>
      <c r="N765" s="52"/>
    </row>
    <row r="766" spans="1:14" ht="15.75">
      <c r="A766" s="50"/>
      <c r="B766" s="4"/>
      <c r="C766" s="188"/>
      <c r="D766" s="188"/>
      <c r="E766" s="52"/>
      <c r="F766" s="188"/>
      <c r="G766" s="39"/>
      <c r="H766" s="39"/>
      <c r="I766" s="189"/>
      <c r="J766" s="188"/>
      <c r="K766" s="189"/>
      <c r="L766" s="188"/>
      <c r="M766" s="227"/>
      <c r="N766" s="52"/>
    </row>
    <row r="767" spans="1:14" ht="15.75">
      <c r="A767" s="50"/>
      <c r="B767" s="4"/>
      <c r="C767" s="188"/>
      <c r="D767" s="188"/>
      <c r="E767" s="52"/>
      <c r="F767" s="188"/>
      <c r="G767" s="39"/>
      <c r="H767" s="39"/>
      <c r="I767" s="189"/>
      <c r="J767" s="188"/>
      <c r="K767" s="189"/>
      <c r="L767" s="188"/>
      <c r="M767" s="227"/>
      <c r="N767" s="52"/>
    </row>
    <row r="768" spans="1:14" ht="15.75">
      <c r="A768" s="50"/>
      <c r="B768" s="4"/>
      <c r="C768" s="188"/>
      <c r="D768" s="188"/>
      <c r="E768" s="52"/>
      <c r="F768" s="188"/>
      <c r="G768" s="39"/>
      <c r="H768" s="39"/>
      <c r="I768" s="189"/>
      <c r="J768" s="188"/>
      <c r="K768" s="189"/>
      <c r="L768" s="188"/>
      <c r="M768" s="227"/>
      <c r="N768" s="52"/>
    </row>
    <row r="769" spans="1:14" ht="15.75">
      <c r="A769" s="50"/>
      <c r="B769" s="4"/>
      <c r="C769" s="188"/>
      <c r="D769" s="188"/>
      <c r="E769" s="52"/>
      <c r="F769" s="188"/>
      <c r="G769" s="39"/>
      <c r="H769" s="39"/>
      <c r="I769" s="189"/>
      <c r="J769" s="188"/>
      <c r="K769" s="189"/>
      <c r="L769" s="188"/>
      <c r="M769" s="227"/>
      <c r="N769" s="52"/>
    </row>
    <row r="770" spans="1:14" ht="15.75">
      <c r="A770" s="50"/>
      <c r="B770" s="4"/>
      <c r="C770" s="188"/>
      <c r="D770" s="188"/>
      <c r="E770" s="52"/>
      <c r="F770" s="188"/>
      <c r="G770" s="39"/>
      <c r="H770" s="39"/>
      <c r="I770" s="189"/>
      <c r="J770" s="188"/>
      <c r="K770" s="189"/>
      <c r="L770" s="188"/>
      <c r="M770" s="227"/>
      <c r="N770" s="52"/>
    </row>
    <row r="771" spans="1:14" ht="15.75">
      <c r="A771" s="50"/>
      <c r="B771" s="4"/>
      <c r="C771" s="188"/>
      <c r="D771" s="188"/>
      <c r="E771" s="52"/>
      <c r="F771" s="188"/>
      <c r="G771" s="39"/>
      <c r="H771" s="39"/>
      <c r="I771" s="189"/>
      <c r="J771" s="188"/>
      <c r="K771" s="189"/>
      <c r="L771" s="188"/>
      <c r="M771" s="227"/>
      <c r="N771" s="52"/>
    </row>
    <row r="772" spans="1:14" ht="15.75">
      <c r="A772" s="50"/>
      <c r="B772" s="4"/>
      <c r="C772" s="188"/>
      <c r="D772" s="188"/>
      <c r="E772" s="52"/>
      <c r="F772" s="188"/>
      <c r="G772" s="39"/>
      <c r="H772" s="39"/>
      <c r="I772" s="189"/>
      <c r="J772" s="188"/>
      <c r="K772" s="189"/>
      <c r="L772" s="188"/>
      <c r="M772" s="227"/>
      <c r="N772" s="52"/>
    </row>
    <row r="773" spans="1:14" ht="15.75">
      <c r="A773" s="50"/>
      <c r="B773" s="4"/>
      <c r="C773" s="188"/>
      <c r="D773" s="188"/>
      <c r="E773" s="52"/>
      <c r="F773" s="188"/>
      <c r="G773" s="39"/>
      <c r="H773" s="39"/>
      <c r="I773" s="189"/>
      <c r="J773" s="188"/>
      <c r="K773" s="189"/>
      <c r="L773" s="188"/>
      <c r="M773" s="227"/>
      <c r="N773" s="52"/>
    </row>
    <row r="774" spans="1:14" ht="15.75">
      <c r="A774" s="50"/>
      <c r="B774" s="4"/>
      <c r="C774" s="188"/>
      <c r="D774" s="188"/>
      <c r="E774" s="52"/>
      <c r="F774" s="188"/>
      <c r="G774" s="39"/>
      <c r="H774" s="39"/>
      <c r="I774" s="189"/>
      <c r="J774" s="188"/>
      <c r="K774" s="189"/>
      <c r="L774" s="188"/>
      <c r="M774" s="227"/>
      <c r="N774" s="52"/>
    </row>
    <row r="775" spans="1:14" ht="15.75">
      <c r="A775" s="50"/>
      <c r="B775" s="4"/>
      <c r="C775" s="188"/>
      <c r="D775" s="188"/>
      <c r="E775" s="52"/>
      <c r="F775" s="188"/>
      <c r="G775" s="39"/>
      <c r="H775" s="39"/>
      <c r="I775" s="189"/>
      <c r="J775" s="188"/>
      <c r="K775" s="189"/>
      <c r="L775" s="188"/>
      <c r="M775" s="227"/>
      <c r="N775" s="52"/>
    </row>
    <row r="776" spans="1:14" ht="15.75">
      <c r="A776" s="50"/>
      <c r="B776" s="4"/>
      <c r="C776" s="188"/>
      <c r="D776" s="188"/>
      <c r="E776" s="52"/>
      <c r="F776" s="188"/>
      <c r="G776" s="39"/>
      <c r="H776" s="39"/>
      <c r="I776" s="189"/>
      <c r="J776" s="188"/>
      <c r="K776" s="189"/>
      <c r="L776" s="188"/>
      <c r="M776" s="227"/>
      <c r="N776" s="52"/>
    </row>
    <row r="777" spans="1:14" ht="15.75">
      <c r="A777" s="50"/>
      <c r="B777" s="4"/>
      <c r="C777" s="188"/>
      <c r="D777" s="188"/>
      <c r="E777" s="52"/>
      <c r="F777" s="188"/>
      <c r="G777" s="39"/>
      <c r="H777" s="39"/>
      <c r="I777" s="189"/>
      <c r="J777" s="188"/>
      <c r="K777" s="189"/>
      <c r="L777" s="188"/>
      <c r="M777" s="227"/>
      <c r="N777" s="52"/>
    </row>
    <row r="778" spans="1:14" ht="15.75">
      <c r="A778" s="50"/>
      <c r="B778" s="4"/>
      <c r="C778" s="188"/>
      <c r="D778" s="188"/>
      <c r="E778" s="52"/>
      <c r="F778" s="188"/>
      <c r="G778" s="39"/>
      <c r="H778" s="39"/>
      <c r="I778" s="189"/>
      <c r="J778" s="188"/>
      <c r="K778" s="189"/>
      <c r="L778" s="188"/>
      <c r="M778" s="227"/>
      <c r="N778" s="52"/>
    </row>
    <row r="779" spans="1:14" ht="15.75">
      <c r="A779" s="50"/>
      <c r="B779" s="4"/>
      <c r="C779" s="188"/>
      <c r="D779" s="188"/>
      <c r="E779" s="52"/>
      <c r="F779" s="188"/>
      <c r="G779" s="39"/>
      <c r="H779" s="39"/>
      <c r="I779" s="189"/>
      <c r="J779" s="188"/>
      <c r="K779" s="189"/>
      <c r="L779" s="188"/>
      <c r="M779" s="227"/>
      <c r="N779" s="52"/>
    </row>
    <row r="780" spans="1:14" ht="15.75">
      <c r="A780" s="50"/>
      <c r="B780" s="4"/>
      <c r="C780" s="188"/>
      <c r="D780" s="188"/>
      <c r="E780" s="52"/>
      <c r="F780" s="188"/>
      <c r="G780" s="39"/>
      <c r="H780" s="39"/>
      <c r="I780" s="189"/>
      <c r="J780" s="188"/>
      <c r="K780" s="189"/>
      <c r="L780" s="188"/>
      <c r="M780" s="227"/>
      <c r="N780" s="52"/>
    </row>
    <row r="781" spans="1:14" ht="15.75">
      <c r="A781" s="50"/>
      <c r="B781" s="4"/>
      <c r="C781" s="188"/>
      <c r="D781" s="188"/>
      <c r="E781" s="52"/>
      <c r="F781" s="188"/>
      <c r="G781" s="39"/>
      <c r="H781" s="39"/>
      <c r="I781" s="189"/>
      <c r="J781" s="188"/>
      <c r="K781" s="189"/>
      <c r="L781" s="188"/>
      <c r="M781" s="227"/>
      <c r="N781" s="52"/>
    </row>
    <row r="782" spans="1:14" ht="15.75">
      <c r="A782" s="50"/>
      <c r="B782" s="4"/>
      <c r="C782" s="188"/>
      <c r="D782" s="188"/>
      <c r="E782" s="52"/>
      <c r="F782" s="188"/>
      <c r="G782" s="39"/>
      <c r="H782" s="39"/>
      <c r="I782" s="189"/>
      <c r="J782" s="188"/>
      <c r="K782" s="189"/>
      <c r="L782" s="188"/>
      <c r="M782" s="227"/>
      <c r="N782" s="52"/>
    </row>
    <row r="783" spans="1:14" ht="15.75">
      <c r="A783" s="50"/>
      <c r="B783" s="4"/>
      <c r="C783" s="188"/>
      <c r="D783" s="188"/>
      <c r="E783" s="52"/>
      <c r="F783" s="188"/>
      <c r="G783" s="39"/>
      <c r="H783" s="39"/>
      <c r="I783" s="189"/>
      <c r="J783" s="188"/>
      <c r="K783" s="189"/>
      <c r="L783" s="188"/>
      <c r="M783" s="227"/>
      <c r="N783" s="52"/>
    </row>
    <row r="784" spans="1:14" ht="15.75">
      <c r="A784" s="50"/>
      <c r="B784" s="4"/>
      <c r="C784" s="188"/>
      <c r="D784" s="188"/>
      <c r="E784" s="52"/>
      <c r="F784" s="188"/>
      <c r="G784" s="39"/>
      <c r="H784" s="39"/>
      <c r="I784" s="189"/>
      <c r="J784" s="188"/>
      <c r="K784" s="189"/>
      <c r="L784" s="188"/>
      <c r="M784" s="227"/>
      <c r="N784" s="52"/>
    </row>
    <row r="785" spans="1:14" ht="15.75">
      <c r="A785" s="50"/>
      <c r="B785" s="4"/>
      <c r="C785" s="188"/>
      <c r="D785" s="188"/>
      <c r="E785" s="52"/>
      <c r="F785" s="188"/>
      <c r="G785" s="39"/>
      <c r="H785" s="39"/>
      <c r="I785" s="189"/>
      <c r="J785" s="188"/>
      <c r="K785" s="189"/>
      <c r="L785" s="188"/>
      <c r="M785" s="227"/>
      <c r="N785" s="52"/>
    </row>
    <row r="786" spans="1:14" ht="15.75">
      <c r="A786" s="50"/>
      <c r="B786" s="4"/>
      <c r="C786" s="188"/>
      <c r="D786" s="188"/>
      <c r="E786" s="52"/>
      <c r="F786" s="188"/>
      <c r="G786" s="39"/>
      <c r="H786" s="39"/>
      <c r="I786" s="189"/>
      <c r="J786" s="188"/>
      <c r="K786" s="189"/>
      <c r="L786" s="188"/>
      <c r="M786" s="227"/>
      <c r="N786" s="52"/>
    </row>
    <row r="787" spans="1:14" ht="15.75">
      <c r="A787" s="50"/>
      <c r="B787" s="4"/>
      <c r="C787" s="188"/>
      <c r="D787" s="188"/>
      <c r="E787" s="52"/>
      <c r="F787" s="188"/>
      <c r="G787" s="39"/>
      <c r="H787" s="39"/>
      <c r="I787" s="189"/>
      <c r="J787" s="188"/>
      <c r="K787" s="189"/>
      <c r="L787" s="188"/>
      <c r="M787" s="227"/>
      <c r="N787" s="52"/>
    </row>
    <row r="788" spans="1:14" ht="15.75">
      <c r="A788" s="50"/>
      <c r="B788" s="4"/>
      <c r="C788" s="188"/>
      <c r="D788" s="188"/>
      <c r="E788" s="52"/>
      <c r="F788" s="188"/>
      <c r="G788" s="39"/>
      <c r="H788" s="39"/>
      <c r="I788" s="189"/>
      <c r="J788" s="188"/>
      <c r="K788" s="189"/>
      <c r="L788" s="188"/>
      <c r="M788" s="227"/>
      <c r="N788" s="52"/>
    </row>
    <row r="789" spans="1:14" ht="15.75">
      <c r="A789" s="50"/>
      <c r="B789" s="4"/>
      <c r="C789" s="188"/>
      <c r="D789" s="188"/>
      <c r="E789" s="52"/>
      <c r="F789" s="188"/>
      <c r="G789" s="39"/>
      <c r="H789" s="39"/>
      <c r="I789" s="189"/>
      <c r="J789" s="188"/>
      <c r="K789" s="189"/>
      <c r="L789" s="188"/>
      <c r="M789" s="227"/>
      <c r="N789" s="52"/>
    </row>
    <row r="790" spans="1:14" ht="15.75">
      <c r="A790" s="50"/>
      <c r="B790" s="4"/>
      <c r="C790" s="188"/>
      <c r="D790" s="188"/>
      <c r="E790" s="52"/>
      <c r="F790" s="188"/>
      <c r="G790" s="39"/>
      <c r="H790" s="39"/>
      <c r="I790" s="189"/>
      <c r="J790" s="188"/>
      <c r="K790" s="189"/>
      <c r="L790" s="188"/>
      <c r="M790" s="227"/>
      <c r="N790" s="52"/>
    </row>
    <row r="791" spans="1:14" ht="15.75">
      <c r="A791" s="50"/>
      <c r="B791" s="4"/>
      <c r="C791" s="188"/>
      <c r="D791" s="188"/>
      <c r="E791" s="52"/>
      <c r="F791" s="188"/>
      <c r="G791" s="39"/>
      <c r="H791" s="39"/>
      <c r="I791" s="189"/>
      <c r="J791" s="188"/>
      <c r="K791" s="189"/>
      <c r="L791" s="188"/>
      <c r="M791" s="227"/>
      <c r="N791" s="52"/>
    </row>
    <row r="792" spans="1:14" ht="15.75">
      <c r="A792" s="50"/>
      <c r="B792" s="4"/>
      <c r="C792" s="188"/>
      <c r="D792" s="188"/>
      <c r="E792" s="52"/>
      <c r="F792" s="188"/>
      <c r="G792" s="39"/>
      <c r="H792" s="39"/>
      <c r="I792" s="189"/>
      <c r="J792" s="188"/>
      <c r="K792" s="189"/>
      <c r="L792" s="188"/>
      <c r="M792" s="227"/>
      <c r="N792" s="52"/>
    </row>
    <row r="793" spans="1:14" ht="15.75">
      <c r="A793" s="50"/>
      <c r="B793" s="4"/>
      <c r="C793" s="188"/>
      <c r="D793" s="188"/>
      <c r="E793" s="52"/>
      <c r="F793" s="188"/>
      <c r="G793" s="39"/>
      <c r="H793" s="39"/>
      <c r="I793" s="189"/>
      <c r="J793" s="188"/>
      <c r="K793" s="189"/>
      <c r="L793" s="188"/>
      <c r="M793" s="227"/>
      <c r="N793" s="52"/>
    </row>
    <row r="794" spans="1:14" ht="15.75">
      <c r="A794" s="50"/>
      <c r="B794" s="4"/>
      <c r="C794" s="188"/>
      <c r="D794" s="188"/>
      <c r="E794" s="52"/>
      <c r="F794" s="188"/>
      <c r="G794" s="39"/>
      <c r="H794" s="39"/>
      <c r="I794" s="189"/>
      <c r="J794" s="188"/>
      <c r="K794" s="189"/>
      <c r="L794" s="188"/>
      <c r="M794" s="227"/>
      <c r="N794" s="52"/>
    </row>
    <row r="795" spans="1:14" ht="15.75">
      <c r="A795" s="50"/>
      <c r="B795" s="4"/>
      <c r="C795" s="188"/>
      <c r="D795" s="188"/>
      <c r="E795" s="52"/>
      <c r="F795" s="188"/>
      <c r="G795" s="39"/>
      <c r="H795" s="39"/>
      <c r="I795" s="189"/>
      <c r="J795" s="188"/>
      <c r="K795" s="189"/>
      <c r="L795" s="188"/>
      <c r="M795" s="227"/>
      <c r="N795" s="52"/>
    </row>
    <row r="796" spans="1:14" ht="15.75">
      <c r="A796" s="50"/>
      <c r="B796" s="4"/>
      <c r="C796" s="188"/>
      <c r="D796" s="188"/>
      <c r="E796" s="52"/>
      <c r="F796" s="188"/>
      <c r="G796" s="39"/>
      <c r="H796" s="39"/>
      <c r="I796" s="189"/>
      <c r="J796" s="188"/>
      <c r="K796" s="189"/>
      <c r="L796" s="188"/>
      <c r="M796" s="227"/>
      <c r="N796" s="52"/>
    </row>
    <row r="797" spans="1:14" ht="15.75">
      <c r="A797" s="50"/>
      <c r="B797" s="4"/>
      <c r="C797" s="188"/>
      <c r="D797" s="188"/>
      <c r="E797" s="52"/>
      <c r="F797" s="188"/>
      <c r="G797" s="39"/>
      <c r="H797" s="39"/>
      <c r="I797" s="189"/>
      <c r="J797" s="188"/>
      <c r="K797" s="189"/>
      <c r="L797" s="188"/>
      <c r="M797" s="227"/>
      <c r="N797" s="52"/>
    </row>
    <row r="798" spans="1:14" ht="15.75">
      <c r="A798" s="50"/>
      <c r="B798" s="4"/>
      <c r="C798" s="188"/>
      <c r="D798" s="188"/>
      <c r="E798" s="52"/>
      <c r="F798" s="188"/>
      <c r="G798" s="39"/>
      <c r="H798" s="39"/>
      <c r="I798" s="189"/>
      <c r="J798" s="188"/>
      <c r="K798" s="189"/>
      <c r="L798" s="188"/>
      <c r="M798" s="227"/>
      <c r="N798" s="52"/>
    </row>
    <row r="799" spans="1:14" ht="15.75">
      <c r="A799" s="50"/>
      <c r="B799" s="4"/>
      <c r="C799" s="188"/>
      <c r="D799" s="188"/>
      <c r="E799" s="52"/>
      <c r="F799" s="188"/>
      <c r="G799" s="39"/>
      <c r="H799" s="39"/>
      <c r="I799" s="189"/>
      <c r="J799" s="188"/>
      <c r="K799" s="189"/>
      <c r="L799" s="188"/>
      <c r="M799" s="227"/>
      <c r="N799" s="52"/>
    </row>
    <row r="800" spans="1:14" ht="15.75">
      <c r="A800" s="50"/>
      <c r="B800" s="4"/>
      <c r="C800" s="188"/>
      <c r="D800" s="188"/>
      <c r="E800" s="52"/>
      <c r="F800" s="188"/>
      <c r="G800" s="39"/>
      <c r="H800" s="39"/>
      <c r="I800" s="189"/>
      <c r="J800" s="188"/>
      <c r="K800" s="189"/>
      <c r="L800" s="188"/>
      <c r="M800" s="227"/>
      <c r="N800" s="52"/>
    </row>
    <row r="801" spans="1:14" ht="15.75">
      <c r="A801" s="50"/>
      <c r="B801" s="4"/>
      <c r="C801" s="188"/>
      <c r="D801" s="188"/>
      <c r="E801" s="52"/>
      <c r="F801" s="188"/>
      <c r="G801" s="39"/>
      <c r="H801" s="39"/>
      <c r="I801" s="189"/>
      <c r="J801" s="188"/>
      <c r="K801" s="189"/>
      <c r="L801" s="188"/>
      <c r="M801" s="227"/>
      <c r="N801" s="52"/>
    </row>
    <row r="802" spans="1:14" ht="15.75">
      <c r="A802" s="50"/>
      <c r="B802" s="4"/>
      <c r="C802" s="188"/>
      <c r="D802" s="188"/>
      <c r="E802" s="52"/>
      <c r="F802" s="188"/>
      <c r="G802" s="39"/>
      <c r="H802" s="39"/>
      <c r="I802" s="189"/>
      <c r="J802" s="188"/>
      <c r="K802" s="189"/>
      <c r="L802" s="188"/>
      <c r="M802" s="227"/>
      <c r="N802" s="52"/>
    </row>
    <row r="803" spans="1:14" ht="15.75">
      <c r="A803" s="50"/>
      <c r="B803" s="4"/>
      <c r="C803" s="188"/>
      <c r="D803" s="188"/>
      <c r="E803" s="52"/>
      <c r="F803" s="188"/>
      <c r="G803" s="39"/>
      <c r="H803" s="39"/>
      <c r="I803" s="189"/>
      <c r="J803" s="188"/>
      <c r="K803" s="189"/>
      <c r="L803" s="188"/>
      <c r="M803" s="227"/>
      <c r="N803" s="52"/>
    </row>
    <row r="804" spans="1:14" ht="15.75">
      <c r="A804" s="50"/>
      <c r="B804" s="4"/>
      <c r="C804" s="188"/>
      <c r="D804" s="188"/>
      <c r="E804" s="52"/>
      <c r="F804" s="188"/>
      <c r="G804" s="39"/>
      <c r="H804" s="39"/>
      <c r="I804" s="189"/>
      <c r="J804" s="188"/>
      <c r="K804" s="189"/>
      <c r="L804" s="188"/>
      <c r="M804" s="227"/>
      <c r="N804" s="52"/>
    </row>
    <row r="805" spans="1:14" ht="15.75">
      <c r="A805" s="50"/>
      <c r="B805" s="4"/>
      <c r="C805" s="188"/>
      <c r="D805" s="188"/>
      <c r="E805" s="52"/>
      <c r="F805" s="188"/>
      <c r="G805" s="39"/>
      <c r="H805" s="39"/>
      <c r="I805" s="189"/>
      <c r="J805" s="188"/>
      <c r="K805" s="189"/>
      <c r="L805" s="188"/>
      <c r="M805" s="227"/>
      <c r="N805" s="52"/>
    </row>
    <row r="806" spans="1:14" ht="15.75">
      <c r="A806" s="50"/>
      <c r="B806" s="4"/>
      <c r="C806" s="188"/>
      <c r="D806" s="188"/>
      <c r="E806" s="52"/>
      <c r="F806" s="188"/>
      <c r="G806" s="39"/>
      <c r="H806" s="39"/>
      <c r="I806" s="189"/>
      <c r="J806" s="188"/>
      <c r="K806" s="189"/>
      <c r="L806" s="188"/>
      <c r="M806" s="227"/>
      <c r="N806" s="52"/>
    </row>
    <row r="807" spans="1:14" ht="15.75">
      <c r="A807" s="50"/>
      <c r="B807" s="4"/>
      <c r="C807" s="188"/>
      <c r="D807" s="188"/>
      <c r="E807" s="52"/>
      <c r="F807" s="188"/>
      <c r="G807" s="39"/>
      <c r="H807" s="39"/>
      <c r="I807" s="189"/>
      <c r="J807" s="188"/>
      <c r="K807" s="189"/>
      <c r="L807" s="188"/>
      <c r="M807" s="227"/>
      <c r="N807" s="52"/>
    </row>
    <row r="808" spans="1:14" ht="15.75">
      <c r="A808" s="50"/>
      <c r="B808" s="4"/>
      <c r="C808" s="188"/>
      <c r="D808" s="188"/>
      <c r="E808" s="52"/>
      <c r="F808" s="188"/>
      <c r="G808" s="39"/>
      <c r="H808" s="39"/>
      <c r="I808" s="189"/>
      <c r="J808" s="188"/>
      <c r="K808" s="189"/>
      <c r="L808" s="188"/>
      <c r="M808" s="227"/>
      <c r="N808" s="52"/>
    </row>
    <row r="809" spans="1:14" ht="15.75">
      <c r="A809" s="50"/>
      <c r="B809" s="4"/>
      <c r="C809" s="188"/>
      <c r="D809" s="188"/>
      <c r="E809" s="52"/>
      <c r="F809" s="188"/>
      <c r="G809" s="39"/>
      <c r="H809" s="39"/>
      <c r="I809" s="189"/>
      <c r="J809" s="188"/>
      <c r="K809" s="189"/>
      <c r="L809" s="188"/>
      <c r="M809" s="227"/>
      <c r="N809" s="52"/>
    </row>
    <row r="810" spans="1:14" ht="15.75">
      <c r="A810" s="50"/>
      <c r="B810" s="4"/>
      <c r="C810" s="188"/>
      <c r="D810" s="188"/>
      <c r="E810" s="52"/>
      <c r="F810" s="188"/>
      <c r="G810" s="39"/>
      <c r="H810" s="39"/>
      <c r="I810" s="189"/>
      <c r="J810" s="188"/>
      <c r="K810" s="189"/>
      <c r="L810" s="188"/>
      <c r="M810" s="227"/>
      <c r="N810" s="52"/>
    </row>
    <row r="811" spans="1:14" ht="15.75">
      <c r="A811" s="50"/>
      <c r="B811" s="4"/>
      <c r="C811" s="188"/>
      <c r="D811" s="188"/>
      <c r="E811" s="52"/>
      <c r="F811" s="188"/>
      <c r="G811" s="39"/>
      <c r="H811" s="39"/>
      <c r="I811" s="189"/>
      <c r="J811" s="188"/>
      <c r="K811" s="189"/>
      <c r="L811" s="188"/>
      <c r="M811" s="227"/>
      <c r="N811" s="52"/>
    </row>
    <row r="812" spans="1:14" ht="15.75">
      <c r="A812" s="50"/>
      <c r="B812" s="4"/>
      <c r="C812" s="188"/>
      <c r="D812" s="188"/>
      <c r="E812" s="52"/>
      <c r="F812" s="188"/>
      <c r="G812" s="39"/>
      <c r="H812" s="39"/>
      <c r="I812" s="189"/>
      <c r="J812" s="188"/>
      <c r="K812" s="189"/>
      <c r="L812" s="188"/>
      <c r="M812" s="227"/>
      <c r="N812" s="52"/>
    </row>
    <row r="813" spans="1:14" ht="15.75">
      <c r="A813" s="50"/>
      <c r="B813" s="4"/>
      <c r="C813" s="188"/>
      <c r="D813" s="188"/>
      <c r="E813" s="52"/>
      <c r="F813" s="188"/>
      <c r="G813" s="39"/>
      <c r="H813" s="39"/>
      <c r="I813" s="189"/>
      <c r="J813" s="188"/>
      <c r="K813" s="189"/>
      <c r="L813" s="188"/>
      <c r="M813" s="227"/>
      <c r="N813" s="52"/>
    </row>
    <row r="814" spans="1:14" ht="15.75">
      <c r="A814" s="50"/>
      <c r="B814" s="4"/>
      <c r="C814" s="188"/>
      <c r="D814" s="188"/>
      <c r="E814" s="52"/>
      <c r="F814" s="188"/>
      <c r="G814" s="39"/>
      <c r="H814" s="39"/>
      <c r="I814" s="189"/>
      <c r="J814" s="188"/>
      <c r="K814" s="189"/>
      <c r="L814" s="188"/>
      <c r="M814" s="227"/>
      <c r="N814" s="52"/>
    </row>
    <row r="815" spans="1:14" ht="15.75">
      <c r="A815" s="50"/>
      <c r="B815" s="4"/>
      <c r="C815" s="188"/>
      <c r="D815" s="188"/>
      <c r="E815" s="52"/>
      <c r="F815" s="188"/>
      <c r="G815" s="39"/>
      <c r="H815" s="39"/>
      <c r="I815" s="189"/>
      <c r="J815" s="188"/>
      <c r="K815" s="189"/>
      <c r="L815" s="188"/>
      <c r="M815" s="227"/>
      <c r="N815" s="52"/>
    </row>
    <row r="816" spans="1:14" ht="15.75">
      <c r="A816" s="50"/>
      <c r="B816" s="4"/>
      <c r="C816" s="188"/>
      <c r="D816" s="188"/>
      <c r="E816" s="52"/>
      <c r="F816" s="188"/>
      <c r="G816" s="39"/>
      <c r="H816" s="39"/>
      <c r="I816" s="189"/>
      <c r="J816" s="188"/>
      <c r="K816" s="189"/>
      <c r="L816" s="188"/>
      <c r="M816" s="227"/>
      <c r="N816" s="52"/>
    </row>
    <row r="817" spans="1:14" ht="15.75">
      <c r="A817" s="50"/>
      <c r="B817" s="4"/>
      <c r="C817" s="188"/>
      <c r="D817" s="188"/>
      <c r="E817" s="52"/>
      <c r="F817" s="188"/>
      <c r="G817" s="39"/>
      <c r="H817" s="39"/>
      <c r="I817" s="189"/>
      <c r="J817" s="188"/>
      <c r="K817" s="189"/>
      <c r="L817" s="188"/>
      <c r="M817" s="227"/>
      <c r="N817" s="52"/>
    </row>
    <row r="818" spans="1:14" ht="15.75">
      <c r="A818" s="50"/>
      <c r="B818" s="4"/>
      <c r="C818" s="188"/>
      <c r="D818" s="188"/>
      <c r="E818" s="52"/>
      <c r="F818" s="188"/>
      <c r="G818" s="39"/>
      <c r="H818" s="39"/>
      <c r="I818" s="189"/>
      <c r="J818" s="188"/>
      <c r="K818" s="189"/>
      <c r="L818" s="188"/>
      <c r="M818" s="227"/>
      <c r="N818" s="52"/>
    </row>
    <row r="819" spans="1:14" ht="15.75">
      <c r="A819" s="50"/>
      <c r="B819" s="4"/>
      <c r="C819" s="188"/>
      <c r="D819" s="188"/>
      <c r="E819" s="52"/>
      <c r="F819" s="188"/>
      <c r="G819" s="39"/>
      <c r="H819" s="39"/>
      <c r="I819" s="189"/>
      <c r="J819" s="188"/>
      <c r="K819" s="189"/>
      <c r="L819" s="188"/>
      <c r="M819" s="227"/>
      <c r="N819" s="52"/>
    </row>
    <row r="820" spans="1:14" ht="15.75">
      <c r="A820" s="50"/>
      <c r="B820" s="4"/>
      <c r="C820" s="188"/>
      <c r="D820" s="188"/>
      <c r="E820" s="52"/>
      <c r="F820" s="188"/>
      <c r="G820" s="39"/>
      <c r="H820" s="39"/>
      <c r="I820" s="189"/>
      <c r="J820" s="188"/>
      <c r="K820" s="189"/>
      <c r="L820" s="188"/>
      <c r="M820" s="227"/>
      <c r="N820" s="52"/>
    </row>
    <row r="821" spans="1:14" ht="15.75">
      <c r="A821" s="50"/>
      <c r="B821" s="4"/>
      <c r="C821" s="188"/>
      <c r="D821" s="188"/>
      <c r="E821" s="52"/>
      <c r="F821" s="188"/>
      <c r="G821" s="39"/>
      <c r="H821" s="39"/>
      <c r="I821" s="189"/>
      <c r="J821" s="188"/>
      <c r="K821" s="189"/>
      <c r="L821" s="188"/>
      <c r="M821" s="227"/>
      <c r="N821" s="52"/>
    </row>
    <row r="822" spans="1:14" ht="15.75">
      <c r="A822" s="50"/>
      <c r="B822" s="4"/>
      <c r="C822" s="188"/>
      <c r="D822" s="188"/>
      <c r="E822" s="52"/>
      <c r="F822" s="188"/>
      <c r="G822" s="39"/>
      <c r="H822" s="39"/>
      <c r="I822" s="189"/>
      <c r="J822" s="188"/>
      <c r="K822" s="189"/>
      <c r="L822" s="188"/>
      <c r="M822" s="227"/>
      <c r="N822" s="52"/>
    </row>
    <row r="823" spans="1:14" ht="15.75">
      <c r="A823" s="50"/>
      <c r="B823" s="4"/>
      <c r="C823" s="188"/>
      <c r="D823" s="188"/>
      <c r="E823" s="52"/>
      <c r="F823" s="188"/>
      <c r="G823" s="39"/>
      <c r="H823" s="39"/>
      <c r="I823" s="189"/>
      <c r="J823" s="188"/>
      <c r="K823" s="189"/>
      <c r="L823" s="188"/>
      <c r="M823" s="227"/>
      <c r="N823" s="52"/>
    </row>
    <row r="824" spans="1:14" ht="15.75">
      <c r="A824" s="50"/>
      <c r="B824" s="4"/>
      <c r="C824" s="188"/>
      <c r="D824" s="188"/>
      <c r="E824" s="52"/>
      <c r="F824" s="188"/>
      <c r="G824" s="39"/>
      <c r="H824" s="39"/>
      <c r="I824" s="189"/>
      <c r="J824" s="188"/>
      <c r="K824" s="189"/>
      <c r="L824" s="188"/>
      <c r="M824" s="227"/>
      <c r="N824" s="52"/>
    </row>
    <row r="825" spans="1:14" ht="15.75">
      <c r="A825" s="50"/>
      <c r="B825" s="4"/>
      <c r="C825" s="188"/>
      <c r="D825" s="188"/>
      <c r="E825" s="52"/>
      <c r="F825" s="188"/>
      <c r="G825" s="39"/>
      <c r="H825" s="39"/>
      <c r="I825" s="189"/>
      <c r="J825" s="188"/>
      <c r="K825" s="189"/>
      <c r="L825" s="188"/>
      <c r="M825" s="227"/>
      <c r="N825" s="52"/>
    </row>
    <row r="826" spans="1:14" ht="15.75">
      <c r="A826" s="50"/>
      <c r="B826" s="4"/>
      <c r="C826" s="188"/>
      <c r="D826" s="188"/>
      <c r="E826" s="52"/>
      <c r="F826" s="188"/>
      <c r="G826" s="39"/>
      <c r="H826" s="39"/>
      <c r="I826" s="189"/>
      <c r="J826" s="188"/>
      <c r="K826" s="189"/>
      <c r="L826" s="188"/>
      <c r="M826" s="227"/>
      <c r="N826" s="52"/>
    </row>
    <row r="827" spans="1:14" ht="15.75">
      <c r="A827" s="50"/>
      <c r="B827" s="4"/>
      <c r="C827" s="188"/>
      <c r="D827" s="188"/>
      <c r="E827" s="52"/>
      <c r="F827" s="188"/>
      <c r="G827" s="39"/>
      <c r="H827" s="39"/>
      <c r="I827" s="189"/>
      <c r="J827" s="188"/>
      <c r="K827" s="189"/>
      <c r="L827" s="188"/>
      <c r="M827" s="227"/>
      <c r="N827" s="52"/>
    </row>
    <row r="828" spans="1:14" ht="15.75">
      <c r="A828" s="50"/>
      <c r="B828" s="4"/>
      <c r="C828" s="188"/>
      <c r="D828" s="188"/>
      <c r="E828" s="52"/>
      <c r="F828" s="188"/>
      <c r="G828" s="39"/>
      <c r="H828" s="39"/>
      <c r="I828" s="189"/>
      <c r="J828" s="188"/>
      <c r="K828" s="189"/>
      <c r="L828" s="188"/>
      <c r="M828" s="227"/>
      <c r="N828" s="52"/>
    </row>
    <row r="829" spans="1:14" ht="15.75">
      <c r="A829" s="50"/>
      <c r="B829" s="4"/>
      <c r="C829" s="188"/>
      <c r="D829" s="188"/>
      <c r="E829" s="52"/>
      <c r="F829" s="188"/>
      <c r="G829" s="39"/>
      <c r="H829" s="39"/>
      <c r="I829" s="189"/>
      <c r="J829" s="188"/>
      <c r="K829" s="189"/>
      <c r="L829" s="188"/>
      <c r="M829" s="227"/>
      <c r="N829" s="52"/>
    </row>
    <row r="830" spans="1:14" ht="15.75">
      <c r="A830" s="50"/>
      <c r="B830" s="4"/>
      <c r="C830" s="188"/>
      <c r="D830" s="188"/>
      <c r="E830" s="52"/>
      <c r="F830" s="188"/>
      <c r="G830" s="39"/>
      <c r="H830" s="39"/>
      <c r="I830" s="189"/>
      <c r="J830" s="188"/>
      <c r="K830" s="189"/>
      <c r="L830" s="188"/>
      <c r="M830" s="227"/>
      <c r="N830" s="52"/>
    </row>
    <row r="831" spans="1:14" ht="15.75">
      <c r="A831" s="50"/>
      <c r="B831" s="4"/>
      <c r="C831" s="188"/>
      <c r="D831" s="188"/>
      <c r="E831" s="52"/>
      <c r="F831" s="188"/>
      <c r="G831" s="39"/>
      <c r="H831" s="39"/>
      <c r="I831" s="189"/>
      <c r="J831" s="188"/>
      <c r="K831" s="189"/>
      <c r="L831" s="188"/>
      <c r="M831" s="227"/>
      <c r="N831" s="52"/>
    </row>
    <row r="832" spans="1:14" ht="15.75">
      <c r="A832" s="50"/>
      <c r="B832" s="4"/>
      <c r="C832" s="188"/>
      <c r="D832" s="188"/>
      <c r="E832" s="52"/>
      <c r="F832" s="188"/>
      <c r="G832" s="39"/>
      <c r="H832" s="39"/>
      <c r="I832" s="189"/>
      <c r="J832" s="188"/>
      <c r="K832" s="189"/>
      <c r="L832" s="188"/>
      <c r="M832" s="227"/>
      <c r="N832" s="52"/>
    </row>
    <row r="833" spans="1:14" ht="15.75">
      <c r="A833" s="50"/>
      <c r="B833" s="4"/>
      <c r="C833" s="188"/>
      <c r="D833" s="188"/>
      <c r="E833" s="52"/>
      <c r="F833" s="188"/>
      <c r="G833" s="39"/>
      <c r="H833" s="39"/>
      <c r="I833" s="189"/>
      <c r="J833" s="188"/>
      <c r="K833" s="189"/>
      <c r="L833" s="188"/>
      <c r="M833" s="227"/>
      <c r="N833" s="52"/>
    </row>
    <row r="834" spans="1:14" ht="15.75">
      <c r="A834" s="50"/>
      <c r="B834" s="4"/>
      <c r="C834" s="188"/>
      <c r="D834" s="188"/>
      <c r="E834" s="52"/>
      <c r="F834" s="188"/>
      <c r="G834" s="39"/>
      <c r="H834" s="39"/>
      <c r="I834" s="189"/>
      <c r="J834" s="188"/>
      <c r="K834" s="189"/>
      <c r="L834" s="188"/>
      <c r="M834" s="227"/>
      <c r="N834" s="52"/>
    </row>
    <row r="835" spans="1:14" ht="15.75">
      <c r="A835" s="50"/>
      <c r="B835" s="4"/>
      <c r="C835" s="188"/>
      <c r="D835" s="188"/>
      <c r="E835" s="52"/>
      <c r="F835" s="188"/>
      <c r="G835" s="39"/>
      <c r="H835" s="39"/>
      <c r="I835" s="189"/>
      <c r="J835" s="188"/>
      <c r="K835" s="189"/>
      <c r="L835" s="188"/>
      <c r="M835" s="227"/>
      <c r="N835" s="52"/>
    </row>
    <row r="836" spans="1:14" ht="15.75">
      <c r="A836" s="50"/>
      <c r="B836" s="4"/>
      <c r="C836" s="188"/>
      <c r="D836" s="188"/>
      <c r="E836" s="52"/>
      <c r="F836" s="188"/>
      <c r="G836" s="39"/>
      <c r="H836" s="39"/>
      <c r="I836" s="189"/>
      <c r="J836" s="188"/>
      <c r="K836" s="189"/>
      <c r="L836" s="188"/>
      <c r="M836" s="227"/>
      <c r="N836" s="52"/>
    </row>
    <row r="837" spans="1:14" ht="15.75">
      <c r="A837" s="50"/>
      <c r="B837" s="4"/>
      <c r="C837" s="188"/>
      <c r="D837" s="188"/>
      <c r="E837" s="52"/>
      <c r="F837" s="188"/>
      <c r="G837" s="39"/>
      <c r="H837" s="39"/>
      <c r="I837" s="189"/>
      <c r="J837" s="188"/>
      <c r="K837" s="189"/>
      <c r="L837" s="188"/>
      <c r="M837" s="227"/>
      <c r="N837" s="52"/>
    </row>
    <row r="838" spans="1:14" ht="15.75">
      <c r="A838" s="50"/>
      <c r="B838" s="4"/>
      <c r="C838" s="188"/>
      <c r="D838" s="188"/>
      <c r="E838" s="52"/>
      <c r="F838" s="188"/>
      <c r="G838" s="39"/>
      <c r="H838" s="39"/>
      <c r="I838" s="189"/>
      <c r="J838" s="188"/>
      <c r="K838" s="189"/>
      <c r="L838" s="188"/>
      <c r="M838" s="227"/>
      <c r="N838" s="52"/>
    </row>
    <row r="839" spans="1:14" ht="15.75">
      <c r="A839" s="50"/>
      <c r="B839" s="4"/>
      <c r="C839" s="188"/>
      <c r="D839" s="188"/>
      <c r="E839" s="52"/>
      <c r="F839" s="188"/>
      <c r="G839" s="39"/>
      <c r="H839" s="39"/>
      <c r="I839" s="189"/>
      <c r="J839" s="188"/>
      <c r="K839" s="189"/>
      <c r="L839" s="188"/>
      <c r="M839" s="227"/>
      <c r="N839" s="52"/>
    </row>
    <row r="840" spans="1:14" ht="15.75">
      <c r="A840" s="50"/>
      <c r="B840" s="4"/>
      <c r="C840" s="188"/>
      <c r="D840" s="188"/>
      <c r="E840" s="52"/>
      <c r="F840" s="188"/>
      <c r="G840" s="39"/>
      <c r="H840" s="39"/>
      <c r="I840" s="189"/>
      <c r="J840" s="188"/>
      <c r="K840" s="189"/>
      <c r="L840" s="188"/>
      <c r="M840" s="227"/>
      <c r="N840" s="52"/>
    </row>
    <row r="841" spans="1:14" ht="15.75">
      <c r="A841" s="50"/>
      <c r="B841" s="4"/>
      <c r="C841" s="188"/>
      <c r="D841" s="188"/>
      <c r="E841" s="52"/>
      <c r="F841" s="188"/>
      <c r="G841" s="39"/>
      <c r="H841" s="39"/>
      <c r="I841" s="189"/>
      <c r="J841" s="188"/>
      <c r="K841" s="189"/>
      <c r="L841" s="188"/>
      <c r="M841" s="227"/>
      <c r="N841" s="52"/>
    </row>
    <row r="842" spans="1:14" ht="15.75">
      <c r="A842" s="50"/>
      <c r="B842" s="4"/>
      <c r="C842" s="188"/>
      <c r="D842" s="188"/>
      <c r="E842" s="52"/>
      <c r="F842" s="188"/>
      <c r="G842" s="39"/>
      <c r="H842" s="39"/>
      <c r="I842" s="189"/>
      <c r="J842" s="188"/>
      <c r="K842" s="189"/>
      <c r="L842" s="188"/>
      <c r="M842" s="227"/>
      <c r="N842" s="52"/>
    </row>
    <row r="843" spans="1:14" ht="15.75">
      <c r="A843" s="50"/>
      <c r="B843" s="4"/>
      <c r="C843" s="188"/>
      <c r="D843" s="188"/>
      <c r="E843" s="52"/>
      <c r="F843" s="188"/>
      <c r="G843" s="39"/>
      <c r="H843" s="39"/>
      <c r="I843" s="189"/>
      <c r="J843" s="188"/>
      <c r="K843" s="189"/>
      <c r="L843" s="188"/>
      <c r="M843" s="227"/>
      <c r="N843" s="52"/>
    </row>
    <row r="844" spans="1:14" ht="15.75">
      <c r="A844" s="50"/>
      <c r="B844" s="4"/>
      <c r="C844" s="188"/>
      <c r="D844" s="188"/>
      <c r="E844" s="52"/>
      <c r="F844" s="188"/>
      <c r="G844" s="39"/>
      <c r="H844" s="39"/>
      <c r="I844" s="189"/>
      <c r="J844" s="188"/>
      <c r="K844" s="189"/>
      <c r="L844" s="188"/>
      <c r="M844" s="227"/>
      <c r="N844" s="52"/>
    </row>
    <row r="845" spans="1:14" ht="15.75">
      <c r="A845" s="50"/>
      <c r="B845" s="4"/>
      <c r="C845" s="188"/>
      <c r="D845" s="188"/>
      <c r="E845" s="52"/>
      <c r="F845" s="188"/>
      <c r="G845" s="39"/>
      <c r="H845" s="39"/>
      <c r="I845" s="189"/>
      <c r="J845" s="188"/>
      <c r="K845" s="189"/>
      <c r="L845" s="188"/>
      <c r="M845" s="227"/>
      <c r="N845" s="52"/>
    </row>
    <row r="846" spans="1:14" ht="15.75">
      <c r="A846" s="50"/>
      <c r="B846" s="4"/>
      <c r="C846" s="188"/>
      <c r="D846" s="188"/>
      <c r="E846" s="52"/>
      <c r="F846" s="188"/>
      <c r="G846" s="39"/>
      <c r="H846" s="39"/>
      <c r="I846" s="189"/>
      <c r="J846" s="188"/>
      <c r="K846" s="189"/>
      <c r="L846" s="188"/>
      <c r="M846" s="227"/>
      <c r="N846" s="52"/>
    </row>
    <row r="847" spans="1:14" ht="15.75">
      <c r="A847" s="50"/>
      <c r="B847" s="4"/>
      <c r="C847" s="188"/>
      <c r="D847" s="188"/>
      <c r="E847" s="52"/>
      <c r="F847" s="188"/>
      <c r="G847" s="39"/>
      <c r="H847" s="39"/>
      <c r="I847" s="189"/>
      <c r="J847" s="188"/>
      <c r="K847" s="189"/>
      <c r="L847" s="188"/>
      <c r="M847" s="227"/>
      <c r="N847" s="52"/>
    </row>
    <row r="848" spans="1:14" ht="15.75">
      <c r="A848" s="50"/>
      <c r="B848" s="4"/>
      <c r="C848" s="188"/>
      <c r="D848" s="188"/>
      <c r="E848" s="52"/>
      <c r="F848" s="188"/>
      <c r="G848" s="39"/>
      <c r="H848" s="39"/>
      <c r="I848" s="189"/>
      <c r="J848" s="188"/>
      <c r="K848" s="189"/>
      <c r="L848" s="188"/>
      <c r="M848" s="227"/>
      <c r="N848" s="52"/>
    </row>
    <row r="849" spans="1:14" ht="15.75">
      <c r="A849" s="50"/>
      <c r="B849" s="4"/>
      <c r="C849" s="188"/>
      <c r="D849" s="188"/>
      <c r="E849" s="52"/>
      <c r="F849" s="188"/>
      <c r="G849" s="39"/>
      <c r="H849" s="39"/>
      <c r="I849" s="189"/>
      <c r="J849" s="188"/>
      <c r="K849" s="189"/>
      <c r="L849" s="188"/>
      <c r="M849" s="227"/>
      <c r="N849" s="52"/>
    </row>
    <row r="850" spans="1:14" ht="15.75">
      <c r="A850" s="50"/>
      <c r="B850" s="4"/>
      <c r="C850" s="188"/>
      <c r="D850" s="188"/>
      <c r="E850" s="52"/>
      <c r="F850" s="188"/>
      <c r="G850" s="39"/>
      <c r="H850" s="39"/>
      <c r="I850" s="189"/>
      <c r="J850" s="188"/>
      <c r="K850" s="189"/>
      <c r="L850" s="188"/>
      <c r="M850" s="227"/>
      <c r="N850" s="52"/>
    </row>
    <row r="851" spans="1:14" ht="15.75">
      <c r="A851" s="50"/>
      <c r="B851" s="4"/>
      <c r="C851" s="188"/>
      <c r="D851" s="188"/>
      <c r="E851" s="52"/>
      <c r="F851" s="188"/>
      <c r="G851" s="39"/>
      <c r="H851" s="39"/>
      <c r="I851" s="189"/>
      <c r="J851" s="188"/>
      <c r="K851" s="189"/>
      <c r="L851" s="188"/>
      <c r="M851" s="227"/>
      <c r="N851" s="52"/>
    </row>
    <row r="852" spans="1:14" ht="15.75">
      <c r="A852" s="50"/>
      <c r="B852" s="4"/>
      <c r="C852" s="188"/>
      <c r="D852" s="188"/>
      <c r="E852" s="52"/>
      <c r="F852" s="188"/>
      <c r="G852" s="39"/>
      <c r="H852" s="39"/>
      <c r="I852" s="189"/>
      <c r="J852" s="188"/>
      <c r="K852" s="189"/>
      <c r="L852" s="188"/>
      <c r="M852" s="227"/>
      <c r="N852" s="52"/>
    </row>
    <row r="853" spans="1:14" ht="15.75">
      <c r="A853" s="50"/>
      <c r="B853" s="4"/>
      <c r="C853" s="188"/>
      <c r="D853" s="188"/>
      <c r="E853" s="52"/>
      <c r="F853" s="188"/>
      <c r="G853" s="39"/>
      <c r="H853" s="39"/>
      <c r="I853" s="189"/>
      <c r="J853" s="188"/>
      <c r="K853" s="189"/>
      <c r="L853" s="188"/>
      <c r="M853" s="227"/>
      <c r="N853" s="52"/>
    </row>
    <row r="854" spans="1:14" ht="15.75">
      <c r="A854" s="50"/>
      <c r="B854" s="4"/>
      <c r="C854" s="188"/>
      <c r="D854" s="188"/>
      <c r="E854" s="52"/>
      <c r="F854" s="188"/>
      <c r="G854" s="39"/>
      <c r="H854" s="39"/>
      <c r="I854" s="189"/>
      <c r="J854" s="188"/>
      <c r="K854" s="189"/>
      <c r="L854" s="188"/>
      <c r="M854" s="227"/>
      <c r="N854" s="52"/>
    </row>
    <row r="855" spans="1:14" ht="15.75">
      <c r="A855" s="50"/>
      <c r="B855" s="4"/>
      <c r="C855" s="188"/>
      <c r="D855" s="188"/>
      <c r="E855" s="52"/>
      <c r="F855" s="188"/>
      <c r="G855" s="39"/>
      <c r="H855" s="39"/>
      <c r="I855" s="189"/>
      <c r="J855" s="188"/>
      <c r="K855" s="189"/>
      <c r="L855" s="188"/>
      <c r="M855" s="227"/>
      <c r="N855" s="52"/>
    </row>
    <row r="856" spans="1:14" ht="15.75">
      <c r="A856" s="50"/>
      <c r="B856" s="4"/>
      <c r="C856" s="188"/>
      <c r="D856" s="188"/>
      <c r="E856" s="52"/>
      <c r="F856" s="188"/>
      <c r="G856" s="39"/>
      <c r="H856" s="39"/>
      <c r="I856" s="189"/>
      <c r="J856" s="188"/>
      <c r="K856" s="189"/>
      <c r="L856" s="188"/>
      <c r="M856" s="227"/>
      <c r="N856" s="52"/>
    </row>
    <row r="857" spans="1:14" ht="15.75">
      <c r="A857" s="50"/>
      <c r="B857" s="4"/>
      <c r="C857" s="188"/>
      <c r="D857" s="188"/>
      <c r="E857" s="52"/>
      <c r="F857" s="188"/>
      <c r="G857" s="39"/>
      <c r="H857" s="39"/>
      <c r="I857" s="189"/>
      <c r="J857" s="188"/>
      <c r="K857" s="189"/>
      <c r="L857" s="188"/>
      <c r="M857" s="227"/>
      <c r="N857" s="52"/>
    </row>
    <row r="858" spans="1:14" ht="15.75">
      <c r="A858" s="50"/>
      <c r="B858" s="4"/>
      <c r="C858" s="188"/>
      <c r="D858" s="188"/>
      <c r="E858" s="52"/>
      <c r="F858" s="188"/>
      <c r="G858" s="39"/>
      <c r="H858" s="39"/>
      <c r="I858" s="189"/>
      <c r="J858" s="188"/>
      <c r="K858" s="189"/>
      <c r="L858" s="188"/>
      <c r="M858" s="227"/>
      <c r="N858" s="52"/>
    </row>
    <row r="859" spans="1:14" ht="15.75">
      <c r="A859" s="50"/>
      <c r="B859" s="4"/>
      <c r="C859" s="188"/>
      <c r="D859" s="188"/>
      <c r="E859" s="52"/>
      <c r="F859" s="188"/>
      <c r="G859" s="39"/>
      <c r="H859" s="39"/>
      <c r="I859" s="189"/>
      <c r="J859" s="188"/>
      <c r="K859" s="189"/>
      <c r="L859" s="188"/>
      <c r="M859" s="227"/>
      <c r="N859" s="52"/>
    </row>
    <row r="860" spans="1:14" ht="15.75">
      <c r="A860" s="50"/>
      <c r="B860" s="4"/>
      <c r="C860" s="188"/>
      <c r="D860" s="188"/>
      <c r="E860" s="52"/>
      <c r="F860" s="188"/>
      <c r="G860" s="39"/>
      <c r="H860" s="39"/>
      <c r="I860" s="189"/>
      <c r="J860" s="188"/>
      <c r="K860" s="189"/>
      <c r="L860" s="188"/>
      <c r="M860" s="227"/>
      <c r="N860" s="52"/>
    </row>
    <row r="861" spans="1:14" ht="15.75">
      <c r="A861" s="50"/>
      <c r="B861" s="4"/>
      <c r="C861" s="188"/>
      <c r="D861" s="188"/>
      <c r="E861" s="52"/>
      <c r="F861" s="188"/>
      <c r="G861" s="39"/>
      <c r="H861" s="39"/>
      <c r="I861" s="189"/>
      <c r="J861" s="188"/>
      <c r="K861" s="189"/>
      <c r="L861" s="188"/>
      <c r="M861" s="227"/>
      <c r="N861" s="52"/>
    </row>
    <row r="862" spans="1:14" ht="15.75">
      <c r="A862" s="50"/>
      <c r="B862" s="4"/>
      <c r="C862" s="188"/>
      <c r="D862" s="188"/>
      <c r="E862" s="52"/>
      <c r="F862" s="188"/>
      <c r="G862" s="39"/>
      <c r="H862" s="39"/>
      <c r="I862" s="189"/>
      <c r="J862" s="188"/>
      <c r="K862" s="189"/>
      <c r="L862" s="188"/>
      <c r="M862" s="227"/>
      <c r="N862" s="52"/>
    </row>
    <row r="863" spans="1:14" ht="15.75">
      <c r="A863" s="50"/>
      <c r="B863" s="4"/>
      <c r="C863" s="188"/>
      <c r="D863" s="188"/>
      <c r="E863" s="52"/>
      <c r="F863" s="188"/>
      <c r="G863" s="39"/>
      <c r="H863" s="39"/>
      <c r="I863" s="189"/>
      <c r="J863" s="188"/>
      <c r="K863" s="189"/>
      <c r="L863" s="188"/>
      <c r="M863" s="227"/>
      <c r="N863" s="52"/>
    </row>
    <row r="864" spans="1:14" ht="15.75">
      <c r="A864" s="50"/>
      <c r="B864" s="4"/>
      <c r="C864" s="188"/>
      <c r="D864" s="188"/>
      <c r="E864" s="52"/>
      <c r="F864" s="188"/>
      <c r="G864" s="39"/>
      <c r="H864" s="39"/>
      <c r="I864" s="189"/>
      <c r="J864" s="188"/>
      <c r="K864" s="189"/>
      <c r="L864" s="188"/>
      <c r="M864" s="227"/>
      <c r="N864" s="52"/>
    </row>
    <row r="865" spans="1:14" ht="15.75">
      <c r="A865" s="50"/>
      <c r="B865" s="4"/>
      <c r="C865" s="188"/>
      <c r="D865" s="188"/>
      <c r="E865" s="52"/>
      <c r="F865" s="188"/>
      <c r="G865" s="39"/>
      <c r="H865" s="39"/>
      <c r="I865" s="189"/>
      <c r="J865" s="188"/>
      <c r="K865" s="189"/>
      <c r="L865" s="188"/>
      <c r="M865" s="227"/>
      <c r="N865" s="52"/>
    </row>
    <row r="866" spans="1:14" ht="15.75">
      <c r="A866" s="50"/>
      <c r="B866" s="4"/>
      <c r="C866" s="188"/>
      <c r="D866" s="188"/>
      <c r="E866" s="52"/>
      <c r="F866" s="188"/>
      <c r="G866" s="39"/>
      <c r="H866" s="39"/>
      <c r="I866" s="189"/>
      <c r="J866" s="188"/>
      <c r="K866" s="189"/>
      <c r="L866" s="188"/>
      <c r="M866" s="227"/>
      <c r="N866" s="52"/>
    </row>
    <row r="867" spans="1:14" ht="15.75">
      <c r="A867" s="50"/>
      <c r="B867" s="4"/>
      <c r="C867" s="188"/>
      <c r="D867" s="188"/>
      <c r="E867" s="52"/>
      <c r="F867" s="188"/>
      <c r="G867" s="39"/>
      <c r="H867" s="39"/>
      <c r="I867" s="189"/>
      <c r="J867" s="188"/>
      <c r="K867" s="189"/>
      <c r="L867" s="188"/>
      <c r="M867" s="227"/>
      <c r="N867" s="52"/>
    </row>
    <row r="868" spans="1:14" ht="15.75">
      <c r="A868" s="50"/>
      <c r="B868" s="4"/>
      <c r="C868" s="188"/>
      <c r="D868" s="188"/>
      <c r="E868" s="52"/>
      <c r="F868" s="188"/>
      <c r="G868" s="39"/>
      <c r="H868" s="39"/>
      <c r="I868" s="189"/>
      <c r="J868" s="188"/>
      <c r="K868" s="189"/>
      <c r="L868" s="188"/>
      <c r="M868" s="227"/>
      <c r="N868" s="52"/>
    </row>
    <row r="869" spans="1:14" ht="15.75">
      <c r="A869" s="50"/>
      <c r="B869" s="4"/>
      <c r="C869" s="188"/>
      <c r="D869" s="188"/>
      <c r="E869" s="52"/>
      <c r="F869" s="188"/>
      <c r="G869" s="39"/>
      <c r="H869" s="39"/>
      <c r="I869" s="189"/>
      <c r="J869" s="188"/>
      <c r="K869" s="189"/>
      <c r="L869" s="188"/>
      <c r="M869" s="227"/>
      <c r="N869" s="52"/>
    </row>
    <row r="870" spans="1:14" ht="15.75">
      <c r="A870" s="50"/>
      <c r="B870" s="4"/>
      <c r="C870" s="188"/>
      <c r="D870" s="188"/>
      <c r="E870" s="52"/>
      <c r="F870" s="188"/>
      <c r="G870" s="39"/>
      <c r="H870" s="39"/>
      <c r="I870" s="189"/>
      <c r="J870" s="188"/>
      <c r="K870" s="189"/>
      <c r="L870" s="188"/>
      <c r="M870" s="227"/>
      <c r="N870" s="52"/>
    </row>
    <row r="871" spans="1:14" ht="15.75">
      <c r="A871" s="50"/>
      <c r="B871" s="4"/>
      <c r="C871" s="188"/>
      <c r="D871" s="188"/>
      <c r="E871" s="52"/>
      <c r="F871" s="188"/>
      <c r="G871" s="39"/>
      <c r="H871" s="39"/>
      <c r="I871" s="189"/>
      <c r="J871" s="188"/>
      <c r="K871" s="189"/>
      <c r="L871" s="188"/>
      <c r="M871" s="227"/>
      <c r="N871" s="52"/>
    </row>
    <row r="872" spans="1:14" ht="15.75">
      <c r="A872" s="50"/>
      <c r="B872" s="4"/>
      <c r="C872" s="188"/>
      <c r="D872" s="188"/>
      <c r="E872" s="52"/>
      <c r="F872" s="188"/>
      <c r="G872" s="39"/>
      <c r="H872" s="39"/>
      <c r="I872" s="189"/>
      <c r="J872" s="188"/>
      <c r="K872" s="189"/>
      <c r="L872" s="188"/>
      <c r="M872" s="227"/>
      <c r="N872" s="52"/>
    </row>
    <row r="873" spans="1:14" ht="15.75">
      <c r="A873" s="50"/>
      <c r="B873" s="4"/>
      <c r="C873" s="188"/>
      <c r="D873" s="188"/>
      <c r="E873" s="52"/>
      <c r="F873" s="188"/>
      <c r="G873" s="39"/>
      <c r="H873" s="39"/>
      <c r="I873" s="189"/>
      <c r="J873" s="188"/>
      <c r="K873" s="189"/>
      <c r="L873" s="188"/>
      <c r="M873" s="227"/>
      <c r="N873" s="52"/>
    </row>
    <row r="874" spans="1:14" ht="15.75">
      <c r="A874" s="50"/>
      <c r="B874" s="4"/>
      <c r="C874" s="188"/>
      <c r="D874" s="188"/>
      <c r="E874" s="52"/>
      <c r="F874" s="188"/>
      <c r="G874" s="39"/>
      <c r="H874" s="39"/>
      <c r="I874" s="189"/>
      <c r="J874" s="188"/>
      <c r="K874" s="189"/>
      <c r="L874" s="188"/>
      <c r="M874" s="227"/>
      <c r="N874" s="52"/>
    </row>
    <row r="875" spans="1:14" ht="15.75">
      <c r="A875" s="50"/>
      <c r="B875" s="4"/>
      <c r="C875" s="188"/>
      <c r="D875" s="188"/>
      <c r="E875" s="52"/>
      <c r="F875" s="188"/>
      <c r="G875" s="39"/>
      <c r="H875" s="39"/>
      <c r="I875" s="189"/>
      <c r="J875" s="188"/>
      <c r="K875" s="189"/>
      <c r="L875" s="188"/>
      <c r="M875" s="227"/>
      <c r="N875" s="52"/>
    </row>
    <row r="876" spans="1:14" ht="15.75">
      <c r="A876" s="50"/>
      <c r="B876" s="4"/>
      <c r="C876" s="188"/>
      <c r="D876" s="188"/>
      <c r="E876" s="52"/>
      <c r="F876" s="188"/>
      <c r="G876" s="39"/>
      <c r="H876" s="39"/>
      <c r="I876" s="189"/>
      <c r="J876" s="188"/>
      <c r="K876" s="189"/>
      <c r="L876" s="188"/>
      <c r="M876" s="227"/>
      <c r="N876" s="52"/>
    </row>
    <row r="877" spans="1:14" ht="15.75">
      <c r="A877" s="50"/>
      <c r="B877" s="4"/>
      <c r="C877" s="188"/>
      <c r="D877" s="188"/>
      <c r="E877" s="52"/>
      <c r="F877" s="188"/>
      <c r="G877" s="39"/>
      <c r="H877" s="39"/>
      <c r="I877" s="189"/>
      <c r="J877" s="188"/>
      <c r="K877" s="189"/>
      <c r="L877" s="188"/>
      <c r="M877" s="227"/>
      <c r="N877" s="52"/>
    </row>
    <row r="878" spans="1:14" ht="15.75">
      <c r="A878" s="50"/>
      <c r="B878" s="4"/>
      <c r="C878" s="188"/>
      <c r="D878" s="188"/>
      <c r="E878" s="52"/>
      <c r="F878" s="188"/>
      <c r="G878" s="39"/>
      <c r="H878" s="39"/>
      <c r="I878" s="189"/>
      <c r="J878" s="188"/>
      <c r="K878" s="189"/>
      <c r="L878" s="188"/>
      <c r="M878" s="227"/>
      <c r="N878" s="52"/>
    </row>
    <row r="879" spans="1:14" ht="15.75">
      <c r="A879" s="50"/>
      <c r="B879" s="4"/>
      <c r="C879" s="188"/>
      <c r="D879" s="188"/>
      <c r="E879" s="52"/>
      <c r="F879" s="188"/>
      <c r="G879" s="39"/>
      <c r="H879" s="39"/>
      <c r="I879" s="189"/>
      <c r="J879" s="188"/>
      <c r="K879" s="189"/>
      <c r="L879" s="188"/>
      <c r="M879" s="227"/>
      <c r="N879" s="52"/>
    </row>
    <row r="880" spans="1:14" ht="15.75">
      <c r="A880" s="50"/>
      <c r="B880" s="4"/>
      <c r="C880" s="188"/>
      <c r="D880" s="188"/>
      <c r="E880" s="52"/>
      <c r="F880" s="188"/>
      <c r="G880" s="39"/>
      <c r="H880" s="39"/>
      <c r="I880" s="189"/>
      <c r="J880" s="188"/>
      <c r="K880" s="189"/>
      <c r="L880" s="188"/>
      <c r="M880" s="227"/>
      <c r="N880" s="52"/>
    </row>
    <row r="881" spans="1:14" ht="15.75">
      <c r="A881" s="50"/>
      <c r="B881" s="4"/>
      <c r="C881" s="188"/>
      <c r="D881" s="188"/>
      <c r="E881" s="52"/>
      <c r="F881" s="188"/>
      <c r="G881" s="39"/>
      <c r="H881" s="39"/>
      <c r="I881" s="189"/>
      <c r="J881" s="188"/>
      <c r="K881" s="189"/>
      <c r="L881" s="188"/>
      <c r="M881" s="227"/>
      <c r="N881" s="52"/>
    </row>
    <row r="882" spans="1:14" ht="15.75">
      <c r="A882" s="50"/>
      <c r="B882" s="4"/>
      <c r="C882" s="188"/>
      <c r="D882" s="188"/>
      <c r="E882" s="52"/>
      <c r="F882" s="188"/>
      <c r="G882" s="39"/>
      <c r="H882" s="39"/>
      <c r="I882" s="189"/>
      <c r="J882" s="188"/>
      <c r="K882" s="189"/>
      <c r="L882" s="188"/>
      <c r="M882" s="227"/>
      <c r="N882" s="52"/>
    </row>
    <row r="883" spans="1:14" ht="15.75">
      <c r="A883" s="50"/>
      <c r="B883" s="4"/>
      <c r="C883" s="188"/>
      <c r="D883" s="188"/>
      <c r="E883" s="52"/>
      <c r="F883" s="188"/>
      <c r="G883" s="39"/>
      <c r="H883" s="39"/>
      <c r="I883" s="189"/>
      <c r="J883" s="188"/>
      <c r="K883" s="189"/>
      <c r="L883" s="188"/>
      <c r="M883" s="227"/>
      <c r="N883" s="52"/>
    </row>
    <row r="884" spans="1:14" ht="15.75">
      <c r="A884" s="50"/>
      <c r="B884" s="4"/>
      <c r="C884" s="188"/>
      <c r="D884" s="188"/>
      <c r="E884" s="52"/>
      <c r="F884" s="188"/>
      <c r="G884" s="39"/>
      <c r="H884" s="39"/>
      <c r="I884" s="189"/>
      <c r="J884" s="188"/>
      <c r="K884" s="189"/>
      <c r="L884" s="188"/>
      <c r="M884" s="227"/>
      <c r="N884" s="52"/>
    </row>
    <row r="885" spans="1:14" ht="15.75">
      <c r="A885" s="50"/>
      <c r="B885" s="4"/>
      <c r="C885" s="188"/>
      <c r="D885" s="188"/>
      <c r="E885" s="52"/>
      <c r="F885" s="188"/>
      <c r="G885" s="39"/>
      <c r="H885" s="39"/>
      <c r="I885" s="189"/>
      <c r="J885" s="188"/>
      <c r="K885" s="189"/>
      <c r="L885" s="188"/>
      <c r="M885" s="227"/>
      <c r="N885" s="52"/>
    </row>
    <row r="886" spans="1:14" ht="15.75">
      <c r="A886" s="50"/>
      <c r="B886" s="4"/>
      <c r="C886" s="188"/>
      <c r="D886" s="188"/>
      <c r="E886" s="52"/>
      <c r="F886" s="188"/>
      <c r="G886" s="39"/>
      <c r="H886" s="39"/>
      <c r="I886" s="189"/>
      <c r="J886" s="188"/>
      <c r="K886" s="189"/>
      <c r="L886" s="188"/>
      <c r="M886" s="227"/>
      <c r="N886" s="52"/>
    </row>
    <row r="887" spans="1:14" ht="15.75">
      <c r="A887" s="50"/>
      <c r="B887" s="4"/>
      <c r="C887" s="188"/>
      <c r="D887" s="188"/>
      <c r="E887" s="52"/>
      <c r="F887" s="188"/>
      <c r="G887" s="39"/>
      <c r="H887" s="39"/>
      <c r="I887" s="189"/>
      <c r="J887" s="188"/>
      <c r="K887" s="189"/>
      <c r="L887" s="188"/>
      <c r="M887" s="227"/>
      <c r="N887" s="52"/>
    </row>
    <row r="888" spans="1:14" ht="15.75">
      <c r="A888" s="50"/>
      <c r="B888" s="4"/>
      <c r="C888" s="188"/>
      <c r="D888" s="188"/>
      <c r="E888" s="52"/>
      <c r="F888" s="188"/>
      <c r="G888" s="39"/>
      <c r="H888" s="39"/>
      <c r="I888" s="189"/>
      <c r="J888" s="188"/>
      <c r="K888" s="189"/>
      <c r="L888" s="188"/>
      <c r="M888" s="227"/>
      <c r="N888" s="52"/>
    </row>
    <row r="889" spans="1:14" ht="15.75">
      <c r="A889" s="50"/>
      <c r="B889" s="4"/>
      <c r="C889" s="188"/>
      <c r="D889" s="188"/>
      <c r="E889" s="52"/>
      <c r="F889" s="188"/>
      <c r="G889" s="39"/>
      <c r="H889" s="39"/>
      <c r="I889" s="189"/>
      <c r="J889" s="188"/>
      <c r="K889" s="189"/>
      <c r="L889" s="188"/>
      <c r="M889" s="227"/>
      <c r="N889" s="52"/>
    </row>
    <row r="890" spans="1:14" ht="15.75">
      <c r="A890" s="50"/>
      <c r="B890" s="4"/>
      <c r="C890" s="188"/>
      <c r="D890" s="188"/>
      <c r="E890" s="52"/>
      <c r="F890" s="188"/>
      <c r="G890" s="39"/>
      <c r="H890" s="39"/>
      <c r="I890" s="189"/>
      <c r="J890" s="188"/>
      <c r="K890" s="189"/>
      <c r="L890" s="188"/>
      <c r="M890" s="227"/>
      <c r="N890" s="52"/>
    </row>
    <row r="891" spans="1:14" ht="15.75">
      <c r="A891" s="50"/>
      <c r="B891" s="4"/>
      <c r="C891" s="188"/>
      <c r="D891" s="188"/>
      <c r="E891" s="52"/>
      <c r="F891" s="188"/>
      <c r="G891" s="39"/>
      <c r="H891" s="39"/>
      <c r="I891" s="189"/>
      <c r="J891" s="188"/>
      <c r="K891" s="189"/>
      <c r="L891" s="188"/>
      <c r="M891" s="227"/>
      <c r="N891" s="52"/>
    </row>
    <row r="892" spans="1:14" ht="15.75">
      <c r="A892" s="50"/>
      <c r="B892" s="4"/>
      <c r="C892" s="188"/>
      <c r="D892" s="188"/>
      <c r="E892" s="52"/>
      <c r="F892" s="188"/>
      <c r="G892" s="39"/>
      <c r="H892" s="39"/>
      <c r="I892" s="189"/>
      <c r="J892" s="188"/>
      <c r="K892" s="189"/>
      <c r="L892" s="188"/>
      <c r="M892" s="227"/>
      <c r="N892" s="52"/>
    </row>
    <row r="893" spans="1:14" ht="15.75">
      <c r="A893" s="50"/>
      <c r="B893" s="4"/>
      <c r="C893" s="188"/>
      <c r="D893" s="188"/>
      <c r="E893" s="52"/>
      <c r="F893" s="188"/>
      <c r="G893" s="39"/>
      <c r="H893" s="39"/>
      <c r="I893" s="189"/>
      <c r="J893" s="188"/>
      <c r="K893" s="189"/>
      <c r="L893" s="188"/>
      <c r="M893" s="227"/>
      <c r="N893" s="52"/>
    </row>
    <row r="894" spans="1:14" ht="15.75">
      <c r="A894" s="50"/>
      <c r="B894" s="4"/>
      <c r="C894" s="188"/>
      <c r="D894" s="188"/>
      <c r="E894" s="52"/>
      <c r="F894" s="188"/>
      <c r="G894" s="39"/>
      <c r="H894" s="39"/>
      <c r="I894" s="189"/>
      <c r="J894" s="188"/>
      <c r="K894" s="189"/>
      <c r="L894" s="188"/>
      <c r="M894" s="227"/>
      <c r="N894" s="52"/>
    </row>
    <row r="895" spans="1:14" ht="15.75">
      <c r="A895" s="50"/>
      <c r="B895" s="4"/>
      <c r="C895" s="188"/>
      <c r="D895" s="188"/>
      <c r="E895" s="52"/>
      <c r="F895" s="188"/>
      <c r="G895" s="39"/>
      <c r="H895" s="39"/>
      <c r="I895" s="189"/>
      <c r="J895" s="188"/>
      <c r="K895" s="189"/>
      <c r="L895" s="188"/>
      <c r="M895" s="227"/>
      <c r="N895" s="52"/>
    </row>
    <row r="896" spans="1:14" ht="15.75">
      <c r="A896" s="50"/>
      <c r="B896" s="4"/>
      <c r="C896" s="188"/>
      <c r="D896" s="188"/>
      <c r="E896" s="52"/>
      <c r="F896" s="188"/>
      <c r="G896" s="39"/>
      <c r="H896" s="39"/>
      <c r="I896" s="189"/>
      <c r="J896" s="188"/>
      <c r="K896" s="189"/>
      <c r="L896" s="188"/>
      <c r="M896" s="227"/>
      <c r="N896" s="52"/>
    </row>
    <row r="897" spans="1:14" ht="15.75">
      <c r="A897" s="50"/>
      <c r="B897" s="4"/>
      <c r="C897" s="188"/>
      <c r="D897" s="188"/>
      <c r="E897" s="52"/>
      <c r="F897" s="188"/>
      <c r="G897" s="39"/>
      <c r="H897" s="39"/>
      <c r="I897" s="189"/>
      <c r="J897" s="188"/>
      <c r="K897" s="189"/>
      <c r="L897" s="188"/>
      <c r="M897" s="227"/>
      <c r="N897" s="52"/>
    </row>
    <row r="898" spans="1:14" ht="15.75">
      <c r="A898" s="50"/>
      <c r="B898" s="4"/>
      <c r="C898" s="188"/>
      <c r="D898" s="188"/>
      <c r="E898" s="52"/>
      <c r="F898" s="188"/>
      <c r="G898" s="39"/>
      <c r="H898" s="39"/>
      <c r="I898" s="189"/>
      <c r="J898" s="188"/>
      <c r="K898" s="189"/>
      <c r="L898" s="188"/>
      <c r="M898" s="227"/>
      <c r="N898" s="52"/>
    </row>
    <row r="899" spans="1:14" ht="15.75">
      <c r="A899" s="50"/>
      <c r="B899" s="4"/>
      <c r="C899" s="188"/>
      <c r="D899" s="188"/>
      <c r="E899" s="52"/>
      <c r="F899" s="188"/>
      <c r="G899" s="39"/>
      <c r="H899" s="39"/>
      <c r="I899" s="189"/>
      <c r="J899" s="188"/>
      <c r="K899" s="189"/>
      <c r="L899" s="188"/>
      <c r="M899" s="227"/>
      <c r="N899" s="52"/>
    </row>
    <row r="900" spans="1:14" ht="15.75">
      <c r="A900" s="50"/>
      <c r="B900" s="4"/>
      <c r="C900" s="188"/>
      <c r="D900" s="188"/>
      <c r="E900" s="52"/>
      <c r="F900" s="188"/>
      <c r="G900" s="39"/>
      <c r="H900" s="39"/>
      <c r="I900" s="189"/>
      <c r="J900" s="188"/>
      <c r="K900" s="189"/>
      <c r="L900" s="188"/>
      <c r="M900" s="227"/>
      <c r="N900" s="52"/>
    </row>
    <row r="901" spans="1:14" ht="15.75">
      <c r="A901" s="50"/>
      <c r="B901" s="4"/>
      <c r="C901" s="188"/>
      <c r="D901" s="188"/>
      <c r="E901" s="52"/>
      <c r="F901" s="188"/>
      <c r="G901" s="39"/>
      <c r="H901" s="39"/>
      <c r="I901" s="189"/>
      <c r="J901" s="188"/>
      <c r="K901" s="189"/>
      <c r="L901" s="188"/>
      <c r="M901" s="227"/>
      <c r="N901" s="52"/>
    </row>
    <row r="902" spans="1:14" ht="15.75">
      <c r="A902" s="50"/>
      <c r="B902" s="4"/>
      <c r="C902" s="188"/>
      <c r="D902" s="188"/>
      <c r="E902" s="52"/>
      <c r="F902" s="188"/>
      <c r="G902" s="39"/>
      <c r="H902" s="39"/>
      <c r="I902" s="189"/>
      <c r="J902" s="188"/>
      <c r="K902" s="189"/>
      <c r="L902" s="188"/>
      <c r="M902" s="227"/>
      <c r="N902" s="52"/>
    </row>
    <row r="903" spans="1:14" ht="15.75">
      <c r="A903" s="50"/>
      <c r="B903" s="4"/>
      <c r="C903" s="188"/>
      <c r="D903" s="188"/>
      <c r="E903" s="52"/>
      <c r="F903" s="188"/>
      <c r="G903" s="39"/>
      <c r="H903" s="39"/>
      <c r="I903" s="189"/>
      <c r="J903" s="188"/>
      <c r="K903" s="189"/>
      <c r="L903" s="188"/>
      <c r="M903" s="227"/>
      <c r="N903" s="52"/>
    </row>
    <row r="904" spans="1:14" ht="15.75">
      <c r="A904" s="50"/>
      <c r="B904" s="4"/>
      <c r="C904" s="188"/>
      <c r="D904" s="188"/>
      <c r="E904" s="52"/>
      <c r="F904" s="188"/>
      <c r="G904" s="39"/>
      <c r="H904" s="39"/>
      <c r="I904" s="189"/>
      <c r="J904" s="188"/>
      <c r="K904" s="189"/>
      <c r="L904" s="188"/>
      <c r="M904" s="227"/>
      <c r="N904" s="52"/>
    </row>
    <row r="905" spans="1:14" ht="15.75">
      <c r="A905" s="50"/>
      <c r="B905" s="4"/>
      <c r="C905" s="188"/>
      <c r="D905" s="188"/>
      <c r="E905" s="52"/>
      <c r="F905" s="188"/>
      <c r="G905" s="39"/>
      <c r="H905" s="39"/>
      <c r="I905" s="189"/>
      <c r="J905" s="188"/>
      <c r="K905" s="189"/>
      <c r="L905" s="188"/>
      <c r="M905" s="227"/>
      <c r="N905" s="52"/>
    </row>
    <row r="906" spans="1:14" ht="15.75">
      <c r="A906" s="50"/>
      <c r="B906" s="4"/>
      <c r="C906" s="188"/>
      <c r="D906" s="188"/>
      <c r="E906" s="52"/>
      <c r="F906" s="188"/>
      <c r="G906" s="39"/>
      <c r="H906" s="39"/>
      <c r="I906" s="189"/>
      <c r="J906" s="188"/>
      <c r="K906" s="189"/>
      <c r="L906" s="188"/>
      <c r="M906" s="227"/>
      <c r="N906" s="52"/>
    </row>
    <row r="907" spans="1:14" ht="15.75">
      <c r="A907" s="50"/>
      <c r="B907" s="4"/>
      <c r="C907" s="188"/>
      <c r="D907" s="188"/>
      <c r="E907" s="52"/>
      <c r="F907" s="188"/>
      <c r="G907" s="39"/>
      <c r="H907" s="39"/>
      <c r="I907" s="189"/>
      <c r="J907" s="188"/>
      <c r="K907" s="189"/>
      <c r="L907" s="188"/>
      <c r="M907" s="227"/>
      <c r="N907" s="52"/>
    </row>
    <row r="908" spans="1:14" ht="15.75">
      <c r="A908" s="50"/>
      <c r="B908" s="4"/>
      <c r="C908" s="188"/>
      <c r="D908" s="188"/>
      <c r="E908" s="52"/>
      <c r="F908" s="188"/>
      <c r="G908" s="39"/>
      <c r="H908" s="39"/>
      <c r="I908" s="189"/>
      <c r="J908" s="188"/>
      <c r="K908" s="189"/>
      <c r="L908" s="188"/>
      <c r="M908" s="227"/>
      <c r="N908" s="52"/>
    </row>
    <row r="909" spans="1:14" ht="15.75">
      <c r="A909" s="50"/>
      <c r="B909" s="4"/>
      <c r="C909" s="188"/>
      <c r="D909" s="188"/>
      <c r="E909" s="52"/>
      <c r="F909" s="188"/>
      <c r="G909" s="39"/>
      <c r="H909" s="39"/>
      <c r="I909" s="189"/>
      <c r="J909" s="188"/>
      <c r="K909" s="189"/>
      <c r="L909" s="188"/>
      <c r="M909" s="227"/>
      <c r="N909" s="52"/>
    </row>
    <row r="910" spans="1:14" ht="15.75">
      <c r="A910" s="50"/>
      <c r="B910" s="4"/>
      <c r="C910" s="188"/>
      <c r="D910" s="188"/>
      <c r="E910" s="52"/>
      <c r="F910" s="188"/>
      <c r="G910" s="39"/>
      <c r="H910" s="39"/>
      <c r="I910" s="189"/>
      <c r="J910" s="188"/>
      <c r="K910" s="189"/>
      <c r="L910" s="188"/>
      <c r="M910" s="227"/>
      <c r="N910" s="52"/>
    </row>
    <row r="911" spans="1:14" ht="15.75">
      <c r="A911" s="50"/>
      <c r="B911" s="4"/>
      <c r="C911" s="188"/>
      <c r="D911" s="188"/>
      <c r="E911" s="52"/>
      <c r="F911" s="188"/>
      <c r="G911" s="39"/>
      <c r="H911" s="39"/>
      <c r="I911" s="189"/>
      <c r="J911" s="188"/>
      <c r="K911" s="189"/>
      <c r="L911" s="188"/>
      <c r="M911" s="227"/>
      <c r="N911" s="52"/>
    </row>
    <row r="912" spans="1:14" ht="15.75">
      <c r="A912" s="50"/>
      <c r="B912" s="4"/>
      <c r="C912" s="188"/>
      <c r="D912" s="188"/>
      <c r="E912" s="52"/>
      <c r="F912" s="188"/>
      <c r="G912" s="39"/>
      <c r="H912" s="39"/>
      <c r="I912" s="189"/>
      <c r="J912" s="188"/>
      <c r="K912" s="189"/>
      <c r="L912" s="188"/>
      <c r="M912" s="227"/>
      <c r="N912" s="52"/>
    </row>
    <row r="913" spans="1:14" ht="15.75">
      <c r="A913" s="50"/>
      <c r="B913" s="4"/>
      <c r="C913" s="188"/>
      <c r="D913" s="188"/>
      <c r="E913" s="52"/>
      <c r="F913" s="188"/>
      <c r="G913" s="39"/>
      <c r="H913" s="39"/>
      <c r="I913" s="189"/>
      <c r="J913" s="188"/>
      <c r="K913" s="189"/>
      <c r="L913" s="188"/>
      <c r="M913" s="227"/>
      <c r="N913" s="52"/>
    </row>
    <row r="914" spans="1:14" ht="15.75">
      <c r="A914" s="50"/>
      <c r="B914" s="4"/>
      <c r="C914" s="188"/>
      <c r="D914" s="188"/>
      <c r="E914" s="52"/>
      <c r="F914" s="188"/>
      <c r="G914" s="39"/>
      <c r="H914" s="39"/>
      <c r="I914" s="189"/>
      <c r="J914" s="188"/>
      <c r="K914" s="189"/>
      <c r="L914" s="188"/>
      <c r="M914" s="227"/>
      <c r="N914" s="52"/>
    </row>
    <row r="915" spans="1:14" ht="15.75">
      <c r="A915" s="50"/>
      <c r="B915" s="4"/>
      <c r="C915" s="188"/>
      <c r="D915" s="188"/>
      <c r="E915" s="52"/>
      <c r="F915" s="188"/>
      <c r="G915" s="39"/>
      <c r="H915" s="39"/>
      <c r="I915" s="189"/>
      <c r="J915" s="188"/>
      <c r="K915" s="189"/>
      <c r="L915" s="188"/>
      <c r="M915" s="227"/>
      <c r="N915" s="52"/>
    </row>
    <row r="916" spans="1:14" ht="15.75">
      <c r="A916" s="50"/>
      <c r="B916" s="4"/>
      <c r="C916" s="188"/>
      <c r="D916" s="188"/>
      <c r="E916" s="52"/>
      <c r="F916" s="188"/>
      <c r="G916" s="39"/>
      <c r="H916" s="39"/>
      <c r="I916" s="189"/>
      <c r="J916" s="188"/>
      <c r="K916" s="189"/>
      <c r="L916" s="188"/>
      <c r="M916" s="227"/>
      <c r="N916" s="52"/>
    </row>
    <row r="917" spans="1:14" ht="15.75">
      <c r="A917" s="50"/>
      <c r="B917" s="4"/>
      <c r="C917" s="188"/>
      <c r="D917" s="188"/>
      <c r="E917" s="52"/>
      <c r="F917" s="188"/>
      <c r="G917" s="39"/>
      <c r="H917" s="39"/>
      <c r="I917" s="189"/>
      <c r="J917" s="188"/>
      <c r="K917" s="189"/>
      <c r="L917" s="188"/>
      <c r="M917" s="227"/>
      <c r="N917" s="52"/>
    </row>
    <row r="918" spans="1:14" ht="15.75">
      <c r="A918" s="50"/>
      <c r="B918" s="4"/>
      <c r="C918" s="188"/>
      <c r="D918" s="188"/>
      <c r="E918" s="52"/>
      <c r="F918" s="188"/>
      <c r="G918" s="39"/>
      <c r="H918" s="39"/>
      <c r="I918" s="189"/>
      <c r="J918" s="188"/>
      <c r="K918" s="189"/>
      <c r="L918" s="188"/>
      <c r="M918" s="227"/>
      <c r="N918" s="52"/>
    </row>
    <row r="919" spans="1:14" ht="15.75">
      <c r="A919" s="50"/>
      <c r="B919" s="4"/>
      <c r="C919" s="188"/>
      <c r="D919" s="188"/>
      <c r="E919" s="52"/>
      <c r="F919" s="188"/>
      <c r="G919" s="39"/>
      <c r="H919" s="39"/>
      <c r="I919" s="189"/>
      <c r="J919" s="188"/>
      <c r="K919" s="189"/>
      <c r="L919" s="188"/>
      <c r="M919" s="227"/>
      <c r="N919" s="52"/>
    </row>
    <row r="920" spans="1:14" ht="15.75">
      <c r="A920" s="50"/>
      <c r="B920" s="4"/>
      <c r="C920" s="188"/>
      <c r="D920" s="188"/>
      <c r="E920" s="52"/>
      <c r="F920" s="188"/>
      <c r="G920" s="39"/>
      <c r="H920" s="39"/>
      <c r="I920" s="189"/>
      <c r="J920" s="188"/>
      <c r="K920" s="189"/>
      <c r="L920" s="188"/>
      <c r="M920" s="227"/>
      <c r="N920" s="52"/>
    </row>
    <row r="921" spans="1:14" ht="15.75">
      <c r="A921" s="50"/>
      <c r="B921" s="4"/>
      <c r="C921" s="188"/>
      <c r="D921" s="188"/>
      <c r="E921" s="52"/>
      <c r="F921" s="188"/>
      <c r="G921" s="39"/>
      <c r="H921" s="39"/>
      <c r="I921" s="189"/>
      <c r="J921" s="188"/>
      <c r="K921" s="189"/>
      <c r="L921" s="188"/>
      <c r="M921" s="227"/>
      <c r="N921" s="52"/>
    </row>
    <row r="922" spans="1:14" ht="15.75">
      <c r="A922" s="50"/>
      <c r="B922" s="4"/>
      <c r="C922" s="188"/>
      <c r="D922" s="188"/>
      <c r="E922" s="52"/>
      <c r="F922" s="188"/>
      <c r="G922" s="39"/>
      <c r="H922" s="39"/>
      <c r="I922" s="189"/>
      <c r="J922" s="188"/>
      <c r="K922" s="189"/>
      <c r="L922" s="188"/>
      <c r="M922" s="227"/>
      <c r="N922" s="52"/>
    </row>
    <row r="923" spans="1:14" ht="15.75">
      <c r="A923" s="50"/>
      <c r="B923" s="4"/>
      <c r="C923" s="188"/>
      <c r="D923" s="188"/>
      <c r="E923" s="52"/>
      <c r="F923" s="188"/>
      <c r="G923" s="39"/>
      <c r="H923" s="39"/>
      <c r="I923" s="189"/>
      <c r="J923" s="188"/>
      <c r="K923" s="189"/>
      <c r="L923" s="188"/>
      <c r="M923" s="227"/>
      <c r="N923" s="52"/>
    </row>
    <row r="924" spans="1:14" ht="15.75">
      <c r="A924" s="50"/>
      <c r="B924" s="4"/>
      <c r="C924" s="188"/>
      <c r="D924" s="188"/>
      <c r="E924" s="52"/>
      <c r="F924" s="188"/>
      <c r="G924" s="39"/>
      <c r="H924" s="39"/>
      <c r="I924" s="189"/>
      <c r="J924" s="188"/>
      <c r="K924" s="189"/>
      <c r="L924" s="188"/>
      <c r="M924" s="227"/>
      <c r="N924" s="52"/>
    </row>
    <row r="925" spans="1:14" ht="15.75">
      <c r="A925" s="50"/>
      <c r="B925" s="4"/>
      <c r="C925" s="188"/>
      <c r="D925" s="188"/>
      <c r="E925" s="52"/>
      <c r="F925" s="188"/>
      <c r="G925" s="39"/>
      <c r="H925" s="39"/>
      <c r="I925" s="189"/>
      <c r="J925" s="188"/>
      <c r="K925" s="189"/>
      <c r="L925" s="188"/>
      <c r="M925" s="227"/>
      <c r="N925" s="52"/>
    </row>
    <row r="926" spans="1:14" ht="15.75">
      <c r="A926" s="50"/>
      <c r="B926" s="4"/>
      <c r="C926" s="188"/>
      <c r="D926" s="188"/>
      <c r="E926" s="52"/>
      <c r="F926" s="188"/>
      <c r="G926" s="39"/>
      <c r="H926" s="39"/>
      <c r="I926" s="189"/>
      <c r="J926" s="188"/>
      <c r="K926" s="189"/>
      <c r="L926" s="188"/>
      <c r="M926" s="227"/>
      <c r="N926" s="52"/>
    </row>
    <row r="927" spans="1:14" ht="15.75">
      <c r="A927" s="50"/>
      <c r="B927" s="4"/>
      <c r="C927" s="188"/>
      <c r="D927" s="188"/>
      <c r="E927" s="52"/>
      <c r="F927" s="188"/>
      <c r="G927" s="39"/>
      <c r="H927" s="39"/>
      <c r="I927" s="189"/>
      <c r="J927" s="188"/>
      <c r="K927" s="189"/>
      <c r="L927" s="188"/>
      <c r="M927" s="227"/>
      <c r="N927" s="52"/>
    </row>
    <row r="928" spans="1:14" ht="15.75">
      <c r="A928" s="50"/>
      <c r="B928" s="4"/>
      <c r="C928" s="188"/>
      <c r="D928" s="188"/>
      <c r="E928" s="52"/>
      <c r="F928" s="188"/>
      <c r="G928" s="39"/>
      <c r="H928" s="39"/>
      <c r="I928" s="189"/>
      <c r="J928" s="188"/>
      <c r="K928" s="189"/>
      <c r="L928" s="188"/>
      <c r="M928" s="227"/>
      <c r="N928" s="52"/>
    </row>
    <row r="929" spans="1:14" ht="15.75">
      <c r="A929" s="50"/>
      <c r="B929" s="4"/>
      <c r="C929" s="188"/>
      <c r="D929" s="188"/>
      <c r="E929" s="52"/>
      <c r="F929" s="188"/>
      <c r="G929" s="39"/>
      <c r="H929" s="39"/>
      <c r="I929" s="189"/>
      <c r="J929" s="188"/>
      <c r="K929" s="189"/>
      <c r="L929" s="188"/>
      <c r="M929" s="227"/>
      <c r="N929" s="52"/>
    </row>
    <row r="930" spans="1:14" ht="15.75">
      <c r="A930" s="50"/>
      <c r="B930" s="4"/>
      <c r="C930" s="188"/>
      <c r="D930" s="188"/>
      <c r="E930" s="52"/>
      <c r="F930" s="188"/>
      <c r="G930" s="39"/>
      <c r="H930" s="39"/>
      <c r="I930" s="189"/>
      <c r="J930" s="188"/>
      <c r="K930" s="189"/>
      <c r="L930" s="188"/>
      <c r="M930" s="227"/>
      <c r="N930" s="52"/>
    </row>
    <row r="931" spans="1:14" ht="15.75">
      <c r="A931" s="50"/>
      <c r="B931" s="4"/>
      <c r="C931" s="188"/>
      <c r="D931" s="188"/>
      <c r="E931" s="52"/>
      <c r="F931" s="188"/>
      <c r="G931" s="39"/>
      <c r="H931" s="39"/>
      <c r="I931" s="189"/>
      <c r="J931" s="188"/>
      <c r="K931" s="189"/>
      <c r="L931" s="188"/>
      <c r="M931" s="227"/>
      <c r="N931" s="52"/>
    </row>
    <row r="932" spans="1:14" ht="15.75">
      <c r="A932" s="50"/>
      <c r="B932" s="4"/>
      <c r="C932" s="188"/>
      <c r="D932" s="188"/>
      <c r="E932" s="52"/>
      <c r="F932" s="188"/>
      <c r="G932" s="39"/>
      <c r="H932" s="39"/>
      <c r="I932" s="189"/>
      <c r="J932" s="188"/>
      <c r="K932" s="189"/>
      <c r="L932" s="188"/>
      <c r="M932" s="227"/>
      <c r="N932" s="52"/>
    </row>
    <row r="933" spans="1:14" ht="15.75">
      <c r="A933" s="50"/>
      <c r="B933" s="4"/>
      <c r="C933" s="188"/>
      <c r="D933" s="188"/>
      <c r="E933" s="52"/>
      <c r="F933" s="188"/>
      <c r="G933" s="39"/>
      <c r="H933" s="39"/>
      <c r="I933" s="189"/>
      <c r="J933" s="188"/>
      <c r="K933" s="189"/>
      <c r="L933" s="188"/>
      <c r="M933" s="227"/>
      <c r="N933" s="52"/>
    </row>
    <row r="934" spans="1:14" ht="15.75">
      <c r="A934" s="50"/>
      <c r="B934" s="4"/>
      <c r="C934" s="188"/>
      <c r="D934" s="188"/>
      <c r="E934" s="52"/>
      <c r="F934" s="188"/>
      <c r="G934" s="39"/>
      <c r="H934" s="39"/>
      <c r="I934" s="189"/>
      <c r="J934" s="188"/>
      <c r="K934" s="189"/>
      <c r="L934" s="188"/>
      <c r="M934" s="227"/>
      <c r="N934" s="52"/>
    </row>
    <row r="935" spans="1:14" ht="15.75">
      <c r="A935" s="50"/>
      <c r="B935" s="4"/>
      <c r="C935" s="188"/>
      <c r="D935" s="188"/>
      <c r="E935" s="52"/>
      <c r="F935" s="188"/>
      <c r="G935" s="39"/>
      <c r="H935" s="39"/>
      <c r="I935" s="189"/>
      <c r="J935" s="188"/>
      <c r="K935" s="189"/>
      <c r="L935" s="188"/>
      <c r="M935" s="227"/>
      <c r="N935" s="52"/>
    </row>
    <row r="936" spans="1:14" ht="15.75">
      <c r="A936" s="50"/>
      <c r="B936" s="4"/>
      <c r="C936" s="188"/>
      <c r="D936" s="188"/>
      <c r="E936" s="52"/>
      <c r="F936" s="188"/>
      <c r="G936" s="39"/>
      <c r="H936" s="39"/>
      <c r="I936" s="189"/>
      <c r="J936" s="188"/>
      <c r="K936" s="189"/>
      <c r="L936" s="188"/>
      <c r="M936" s="227"/>
      <c r="N936" s="52"/>
    </row>
    <row r="937" spans="1:14" ht="15.75">
      <c r="A937" s="50"/>
      <c r="B937" s="4"/>
      <c r="C937" s="188"/>
      <c r="D937" s="188"/>
      <c r="E937" s="52"/>
      <c r="F937" s="188"/>
      <c r="G937" s="39"/>
      <c r="H937" s="39"/>
      <c r="I937" s="189"/>
      <c r="J937" s="188"/>
      <c r="K937" s="189"/>
      <c r="L937" s="188"/>
      <c r="M937" s="227"/>
      <c r="N937" s="52"/>
    </row>
    <row r="938" spans="1:14" ht="15.75">
      <c r="A938" s="50"/>
      <c r="B938" s="4"/>
      <c r="C938" s="188"/>
      <c r="D938" s="188"/>
      <c r="E938" s="52"/>
      <c r="F938" s="188"/>
      <c r="G938" s="39"/>
      <c r="H938" s="39"/>
      <c r="I938" s="189"/>
      <c r="J938" s="188"/>
      <c r="K938" s="189"/>
      <c r="L938" s="188"/>
      <c r="M938" s="227"/>
      <c r="N938" s="52"/>
    </row>
    <row r="939" spans="1:14" ht="15.75">
      <c r="A939" s="50"/>
      <c r="B939" s="4"/>
      <c r="C939" s="188"/>
      <c r="D939" s="188"/>
      <c r="E939" s="52"/>
      <c r="F939" s="188"/>
      <c r="G939" s="39"/>
      <c r="H939" s="39"/>
      <c r="I939" s="189"/>
      <c r="J939" s="188"/>
      <c r="K939" s="189"/>
      <c r="L939" s="188"/>
      <c r="M939" s="227"/>
      <c r="N939" s="52"/>
    </row>
    <row r="940" spans="1:14" ht="15.75">
      <c r="A940" s="50"/>
      <c r="B940" s="4"/>
      <c r="C940" s="188"/>
      <c r="D940" s="188"/>
      <c r="E940" s="52"/>
      <c r="F940" s="188"/>
      <c r="G940" s="39"/>
      <c r="H940" s="39"/>
      <c r="I940" s="189"/>
      <c r="J940" s="188"/>
      <c r="K940" s="189"/>
      <c r="L940" s="188"/>
      <c r="M940" s="227"/>
      <c r="N940" s="52"/>
    </row>
    <row r="941" spans="1:14" ht="15.75">
      <c r="A941" s="50"/>
      <c r="B941" s="4"/>
      <c r="C941" s="188"/>
      <c r="D941" s="188"/>
      <c r="E941" s="52"/>
      <c r="F941" s="188"/>
      <c r="G941" s="39"/>
      <c r="H941" s="39"/>
      <c r="I941" s="189"/>
      <c r="J941" s="188"/>
      <c r="K941" s="189"/>
      <c r="L941" s="188"/>
      <c r="M941" s="227"/>
      <c r="N941" s="52"/>
    </row>
  </sheetData>
  <sheetProtection/>
  <autoFilter ref="A9:P336"/>
  <mergeCells count="14">
    <mergeCell ref="B7:B8"/>
    <mergeCell ref="G7:H7"/>
    <mergeCell ref="E7:E8"/>
    <mergeCell ref="F7:F8"/>
    <mergeCell ref="G352:I352"/>
    <mergeCell ref="I7:J7"/>
    <mergeCell ref="A1:N1"/>
    <mergeCell ref="A3:N3"/>
    <mergeCell ref="A5:N5"/>
    <mergeCell ref="A7:A8"/>
    <mergeCell ref="C7:C8"/>
    <mergeCell ref="M7:N7"/>
    <mergeCell ref="D7:D8"/>
    <mergeCell ref="K7:L7"/>
  </mergeCells>
  <printOptions/>
  <pageMargins left="0.35433070866141736" right="0.1968503937007874" top="0.2755905511811024" bottom="0.3937007874015748" header="0.1968503937007874" footer="0.1968503937007874"/>
  <pageSetup horizontalDpi="600" verticalDpi="600" orientation="portrait" paperSize="9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MegaWatt.ge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BOQ</dc:title>
  <dc:subject/>
  <dc:creator>Alex &amp; Alex</dc:creator>
  <cp:keywords/>
  <dc:description>893 33 15 96</dc:description>
  <cp:lastModifiedBy>s.kamkhadze</cp:lastModifiedBy>
  <cp:lastPrinted>2015-03-22T00:36:55Z</cp:lastPrinted>
  <dcterms:created xsi:type="dcterms:W3CDTF">2004-08-24T15:11:32Z</dcterms:created>
  <dcterms:modified xsi:type="dcterms:W3CDTF">2015-03-30T09:11:09Z</dcterms:modified>
  <cp:category/>
  <cp:version/>
  <cp:contentType/>
  <cp:contentStatus/>
</cp:coreProperties>
</file>