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40" windowWidth="15045" windowHeight="7995" activeTab="4"/>
  </bookViews>
  <sheets>
    <sheet name="1-2" sheetId="1" r:id="rId1"/>
    <sheet name="axali-2015-12" sheetId="2" r:id="rId2"/>
    <sheet name="sabboloo-12" sheetId="3" r:id="rId3"/>
    <sheet name="Лист1" sheetId="4" r:id="rId4"/>
    <sheet name="satendero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<sst xmlns="http://schemas.openxmlformats.org/spreadsheetml/2006/main" count="611" uniqueCount="257">
  <si>
    <t># #</t>
  </si>
  <si>
    <t>samuSaoebisa da danaxarjebis dasaxeleba</t>
  </si>
  <si>
    <t>raodenoba</t>
  </si>
  <si>
    <t>sul</t>
  </si>
  <si>
    <t>_</t>
  </si>
  <si>
    <t>kg</t>
  </si>
  <si>
    <t>t</t>
  </si>
  <si>
    <t>jami</t>
  </si>
  <si>
    <t>mTliani</t>
  </si>
  <si>
    <t>normativis nomeri da Sifri</t>
  </si>
  <si>
    <t>saproeqto monacemebiT</t>
  </si>
  <si>
    <t>sazomi erTeuli</t>
  </si>
  <si>
    <t>normativiT  erTeulze</t>
  </si>
  <si>
    <t>xelfasi</t>
  </si>
  <si>
    <t>masalebi</t>
  </si>
  <si>
    <t>transporti</t>
  </si>
  <si>
    <t>cali</t>
  </si>
  <si>
    <t>saxarjTaRricxvo Rirebuleba</t>
  </si>
  <si>
    <t>erTeuli</t>
  </si>
  <si>
    <t>dRg-s CaTvliT</t>
  </si>
  <si>
    <t>maT Soris dRg</t>
  </si>
  <si>
    <t>dRg - 18%</t>
  </si>
  <si>
    <t>mTlianad</t>
  </si>
  <si>
    <t>sxva manqanebi</t>
  </si>
  <si>
    <r>
      <t>m</t>
    </r>
    <r>
      <rPr>
        <vertAlign val="superscript"/>
        <sz val="12"/>
        <color indexed="8"/>
        <rFont val="AcadNusx"/>
        <family val="0"/>
      </rPr>
      <t>3</t>
    </r>
  </si>
  <si>
    <t>sxva masalebi</t>
  </si>
  <si>
    <t>lari</t>
  </si>
  <si>
    <t>.15-614</t>
  </si>
  <si>
    <t>sabazro fasebi</t>
  </si>
  <si>
    <t>m-sT</t>
  </si>
  <si>
    <t>k-sT</t>
  </si>
  <si>
    <t xml:space="preserve">_SromiTi danaxarji             </t>
  </si>
  <si>
    <t>sabazro</t>
  </si>
  <si>
    <t>Rirebuleba (lari)</t>
  </si>
  <si>
    <t>grZ/m</t>
  </si>
  <si>
    <t>zednadebi xarjebi 10%</t>
  </si>
  <si>
    <t>gegmiuri dagroveba 8%</t>
  </si>
  <si>
    <t>1-949</t>
  </si>
  <si>
    <t>p-3-72</t>
  </si>
  <si>
    <t>ormoebis amoReba boZebis dayenebis adgilebSi ormoamomTxremi manqaniT</t>
  </si>
  <si>
    <t>meqanizmebi</t>
  </si>
  <si>
    <t>ormoamomTxreli manqana</t>
  </si>
  <si>
    <t xml:space="preserve">_meqanizmebi             </t>
  </si>
  <si>
    <t>ormoebis Sevseba bet. b-15</t>
  </si>
  <si>
    <t>betonis Rirebuleba transportirebiiT b-15</t>
  </si>
  <si>
    <t>.6-20</t>
  </si>
  <si>
    <t>srf2.1-65</t>
  </si>
  <si>
    <t>srf2.1-21</t>
  </si>
  <si>
    <t>8-409-3</t>
  </si>
  <si>
    <t>metalis boZebis SeRebva antikoroziuli saRebaviT orjer</t>
  </si>
  <si>
    <t>damat. -1</t>
  </si>
  <si>
    <t xml:space="preserve">saRebavis Rirebuleba </t>
  </si>
  <si>
    <t>saden-kabelebis mowyoba da montaJi</t>
  </si>
  <si>
    <t>srf 7-254</t>
  </si>
  <si>
    <t>CamWeri</t>
  </si>
  <si>
    <t>Sualeduri damWeri</t>
  </si>
  <si>
    <t>ankeruli damWeri</t>
  </si>
  <si>
    <t>СКЦЭ-84</t>
  </si>
  <si>
    <t xml:space="preserve">         jami</t>
  </si>
  <si>
    <t xml:space="preserve">lokalur-resursuli xarjTaRricxva </t>
  </si>
  <si>
    <t>gauTvaliswinebeli xarjebi - 3 %</t>
  </si>
  <si>
    <t>sip-sadenis 4X16 Rirebuleba</t>
  </si>
  <si>
    <t>spilenZis el-sadenenis  2X2,5 Rirebuleba</t>
  </si>
  <si>
    <r>
      <t xml:space="preserve"> m</t>
    </r>
    <r>
      <rPr>
        <vertAlign val="superscript"/>
        <sz val="12"/>
        <color indexed="8"/>
        <rFont val="AcadNusx"/>
        <family val="0"/>
      </rPr>
      <t>3</t>
    </r>
  </si>
  <si>
    <t>liTonis mili d=139X4 mm</t>
  </si>
  <si>
    <t>liTonis mili d=51X3 mm</t>
  </si>
  <si>
    <r>
      <t xml:space="preserve"> m</t>
    </r>
    <r>
      <rPr>
        <vertAlign val="superscript"/>
        <sz val="12"/>
        <color indexed="8"/>
        <rFont val="AcadNusx"/>
        <family val="0"/>
      </rPr>
      <t>2</t>
    </r>
  </si>
  <si>
    <t>srf 12-96</t>
  </si>
  <si>
    <t>satransporto xarjebi Sida gadazidvebze_3 %</t>
  </si>
  <si>
    <r>
      <t xml:space="preserve">el-mowyobilobebisa da  sanaTebis 70 </t>
    </r>
    <r>
      <rPr>
        <sz val="12"/>
        <color indexed="8"/>
        <rFont val="Adobe Garamond Pro Bold"/>
        <family val="1"/>
      </rPr>
      <t>WT</t>
    </r>
    <r>
      <rPr>
        <sz val="12"/>
        <color indexed="8"/>
        <rFont val="AcadNusx"/>
        <family val="0"/>
      </rPr>
      <t xml:space="preserve"> (6 c) damontaJeba arsebul qvesadgurSi</t>
    </r>
  </si>
  <si>
    <r>
      <t xml:space="preserve">Sedgenilia: </t>
    </r>
    <r>
      <rPr>
        <sz val="12"/>
        <rFont val="AcadNusx"/>
        <family val="0"/>
      </rPr>
      <t>1984wlis saxarjTaRricxvo normativebisa da 2014 wlis I kvartlis sabazro resursul fasebSi</t>
    </r>
  </si>
  <si>
    <t>el.sanaTi 70vt.</t>
  </si>
  <si>
    <t>Seadgina: i/m akaki futkaraZe</t>
  </si>
  <si>
    <t xml:space="preserve">       direqtori:              a. futkaraZe</t>
  </si>
  <si>
    <t>J.Sartavs quCis II Sesaxvevis gare ganaTebis  mowyobis</t>
  </si>
  <si>
    <t>liTonis ganaTebis boZebis damzadeba da mowyoba betonSi</t>
  </si>
  <si>
    <t xml:space="preserve">savaraudo xarjTaRricxva </t>
  </si>
  <si>
    <t>Sesaxvevi</t>
  </si>
  <si>
    <t>Cixi</t>
  </si>
  <si>
    <r>
      <t xml:space="preserve">Sedgenilia: </t>
    </r>
    <r>
      <rPr>
        <sz val="12"/>
        <rFont val="AcadNusx"/>
        <family val="0"/>
      </rPr>
      <t>1984 wlis saxarjTaRricxvo normativebisa da 2014 wlis IV kvartlis sabazro resursul fasebSi</t>
    </r>
  </si>
  <si>
    <t>sn da w. IV-84w.
1-50</t>
  </si>
  <si>
    <t>ormoebis amoReba boZebis dayenebis adgilebSi ormoamomTxremi manqaniT da damuSaveba xeliT</t>
  </si>
  <si>
    <t>srf117-286</t>
  </si>
  <si>
    <t>saburRi manqana-avtoamwe</t>
  </si>
  <si>
    <r>
      <t>m</t>
    </r>
    <r>
      <rPr>
        <b/>
        <vertAlign val="superscript"/>
        <sz val="10"/>
        <color indexed="8"/>
        <rFont val="AcadNusx"/>
        <family val="0"/>
      </rPr>
      <t>3</t>
    </r>
  </si>
  <si>
    <t xml:space="preserve">sabazro </t>
  </si>
  <si>
    <t xml:space="preserve">betoni b-15 transportirebiT </t>
  </si>
  <si>
    <r>
      <t xml:space="preserve"> m</t>
    </r>
    <r>
      <rPr>
        <vertAlign val="superscript"/>
        <sz val="10"/>
        <color indexed="8"/>
        <rFont val="AcadNusx"/>
        <family val="0"/>
      </rPr>
      <t>3</t>
    </r>
  </si>
  <si>
    <t>sn da w. IV-84w.
9-19-1</t>
  </si>
  <si>
    <t xml:space="preserve"> liTonis ganaTebis boZebis damzadeba da montaJi cali14</t>
  </si>
  <si>
    <t>kc/sT</t>
  </si>
  <si>
    <t>srf 2-70</t>
  </si>
  <si>
    <t>liTonis mili d=139X4mm</t>
  </si>
  <si>
    <t>gr/m</t>
  </si>
  <si>
    <t>pr</t>
  </si>
  <si>
    <t>srf 2-19</t>
  </si>
  <si>
    <t>liTonis mili d=50X3mm</t>
  </si>
  <si>
    <t>srf 2-16</t>
  </si>
  <si>
    <t>liTonis mili d=40X3,5mm</t>
  </si>
  <si>
    <t>srf 1,5-29</t>
  </si>
  <si>
    <t>liTonis furceli 2,5mm sisqis 14-cali boZis qudisTvis d=139X3mm</t>
  </si>
  <si>
    <r>
      <t xml:space="preserve"> m</t>
    </r>
    <r>
      <rPr>
        <vertAlign val="superscript"/>
        <sz val="10"/>
        <color indexed="8"/>
        <rFont val="AcadNusx"/>
        <family val="0"/>
      </rPr>
      <t>2</t>
    </r>
  </si>
  <si>
    <t>srf 1,1-22</t>
  </si>
  <si>
    <t>liTonis glinula d=10mm kauWi sigrZiT 17sm</t>
  </si>
  <si>
    <t>m</t>
  </si>
  <si>
    <r>
      <t xml:space="preserve">sanaTi (56X26X17) -(70 </t>
    </r>
    <r>
      <rPr>
        <sz val="10"/>
        <color indexed="8"/>
        <rFont val="Arial"/>
        <family val="2"/>
      </rPr>
      <t>W)</t>
    </r>
    <r>
      <rPr>
        <sz val="10"/>
        <color indexed="8"/>
        <rFont val="AcadNusx"/>
        <family val="0"/>
      </rPr>
      <t>,simZlavre 35-125</t>
    </r>
    <r>
      <rPr>
        <sz val="10"/>
        <color indexed="8"/>
        <rFont val="Arial"/>
        <family val="2"/>
      </rPr>
      <t>W,</t>
    </r>
    <r>
      <rPr>
        <sz val="10"/>
        <color indexed="8"/>
        <rFont val="AcadNusx"/>
        <family val="0"/>
      </rPr>
      <t xml:space="preserve"> sixSire 50hc, Zbva230, dura aluminis hermetiuli korpusiT. Qquro-e-27  </t>
    </r>
    <r>
      <rPr>
        <sz val="10"/>
        <color indexed="8"/>
        <rFont val="Calibri"/>
        <family val="2"/>
      </rPr>
      <t>IP-65</t>
    </r>
  </si>
  <si>
    <t>srf12-286</t>
  </si>
  <si>
    <t>mq/sT</t>
  </si>
  <si>
    <t>srf1-9-14</t>
  </si>
  <si>
    <t>eleqtrodi</t>
  </si>
  <si>
    <t>kg.</t>
  </si>
  <si>
    <t>sn da w. IV-84w.
15-164-7</t>
  </si>
  <si>
    <r>
      <t xml:space="preserve"> m</t>
    </r>
    <r>
      <rPr>
        <b/>
        <vertAlign val="superscript"/>
        <sz val="10"/>
        <color indexed="8"/>
        <rFont val="AcadNusx"/>
        <family val="0"/>
      </rPr>
      <t>2</t>
    </r>
  </si>
  <si>
    <t>srf 4,2-23</t>
  </si>
  <si>
    <t>saRebavis ZeTovani, marali xarisxis</t>
  </si>
  <si>
    <t>sn da w. IV-84w.
34-119-8</t>
  </si>
  <si>
    <t xml:space="preserve"> saden-kabelebis 
montaJi liTonis boZebze </t>
  </si>
  <si>
    <t>saden-kabelebis montaJi</t>
  </si>
  <si>
    <t>kac.sT</t>
  </si>
  <si>
    <t>34-119,8</t>
  </si>
  <si>
    <t>srf12,-77</t>
  </si>
  <si>
    <t>koSkura teleskopuri 0,35tn</t>
  </si>
  <si>
    <t>manq.sT</t>
  </si>
  <si>
    <t>srf7,4-112</t>
  </si>
  <si>
    <r>
      <rPr>
        <sz val="10"/>
        <color indexed="8"/>
        <rFont val="Grigolia"/>
        <family val="0"/>
      </rPr>
      <t>aluminis izolirebuli  sadeni</t>
    </r>
    <r>
      <rPr>
        <sz val="10"/>
        <color indexed="8"/>
        <rFont val="Arial"/>
        <family val="2"/>
      </rPr>
      <t xml:space="preserve">  ABBГ</t>
    </r>
    <r>
      <rPr>
        <sz val="10"/>
        <color indexed="8"/>
        <rFont val="AcadNusx"/>
        <family val="0"/>
      </rPr>
      <t>4X16</t>
    </r>
  </si>
  <si>
    <t>grZ.m</t>
  </si>
  <si>
    <t>srf 7,2 b)-81</t>
  </si>
  <si>
    <r>
      <t>spilenZis ZarRviTABB</t>
    </r>
    <r>
      <rPr>
        <sz val="10"/>
        <color indexed="8"/>
        <rFont val="Arial"/>
        <family val="2"/>
      </rPr>
      <t xml:space="preserve">ППВ-3  </t>
    </r>
    <r>
      <rPr>
        <sz val="10"/>
        <color indexed="8"/>
        <rFont val="AcadNusx"/>
        <family val="0"/>
      </rPr>
      <t>2X2,5</t>
    </r>
  </si>
  <si>
    <t>mxvretavi damWeri</t>
  </si>
  <si>
    <t>satransporto xarjebi Sida gadazidvebze masalidan</t>
  </si>
  <si>
    <t xml:space="preserve"> </t>
  </si>
  <si>
    <t xml:space="preserve">zednadebi xarjebi </t>
  </si>
  <si>
    <t xml:space="preserve">gegmiuri dagroveba </t>
  </si>
  <si>
    <t xml:space="preserve">gauTvaliswinebeli xarjebi </t>
  </si>
  <si>
    <t xml:space="preserve">dRg </t>
  </si>
  <si>
    <t xml:space="preserve">           Seadgina:   i/m "akaki futkaraZe"-s</t>
  </si>
  <si>
    <t>sazomi 
erTeuli</t>
  </si>
  <si>
    <t>sn da w. IV-84w. 6-2-1</t>
  </si>
  <si>
    <t>sazomi
 erTeuli</t>
  </si>
  <si>
    <t>sn da w. IV-84w. 33-303-2</t>
  </si>
  <si>
    <t>ormoebis amoReba boZebis dayenebis adgilebSi ormoamomTxremi manqaniT da montaJi</t>
  </si>
  <si>
    <t xml:space="preserve">_SromiTi danaxarji   sirTuli k=1,15          </t>
  </si>
  <si>
    <t xml:space="preserve">saburRi manqana-avtoamwe sirTulis k=1,15 </t>
  </si>
  <si>
    <t>sn da w. IV-84w. 33-303-4</t>
  </si>
  <si>
    <t xml:space="preserve"> liTonis ganaTebis boZebis damzadeba </t>
  </si>
  <si>
    <t>sxva manqanebi( SemduRebelia agregati, balgarka)</t>
  </si>
  <si>
    <t xml:space="preserve">liTonis mili d=40X3,0mm </t>
  </si>
  <si>
    <t>sxva masalebi (balgarkis diski, el energia)</t>
  </si>
  <si>
    <t>srf12-</t>
  </si>
  <si>
    <t>saRebavis zeTovani, maRali xarisxis</t>
  </si>
  <si>
    <t>sn da w. IV-84w.
21-26-8</t>
  </si>
  <si>
    <t xml:space="preserve"> sanaTebis
montaJi liTonis boZebze </t>
  </si>
  <si>
    <t xml:space="preserve">Sromis danaxarji </t>
  </si>
  <si>
    <t>koSkura</t>
  </si>
  <si>
    <r>
      <t xml:space="preserve">sanaTi (56X26X17) -(70 </t>
    </r>
    <r>
      <rPr>
        <sz val="10"/>
        <color indexed="8"/>
        <rFont val="Arial"/>
        <family val="2"/>
      </rPr>
      <t>W)</t>
    </r>
    <r>
      <rPr>
        <sz val="10"/>
        <color indexed="8"/>
        <rFont val="AcadNusx"/>
        <family val="0"/>
      </rPr>
      <t>,simZlavre 35-125</t>
    </r>
    <r>
      <rPr>
        <sz val="10"/>
        <color indexed="8"/>
        <rFont val="Arial"/>
        <family val="2"/>
      </rPr>
      <t>W,</t>
    </r>
    <r>
      <rPr>
        <sz val="10"/>
        <color indexed="8"/>
        <rFont val="AcadNusx"/>
        <family val="0"/>
      </rPr>
      <t xml:space="preserve"> sixSire 50hc, Zbva 230V, dura aluminis  korpusiT. quro-e-27 </t>
    </r>
    <r>
      <rPr>
        <sz val="11"/>
        <color indexed="8"/>
        <rFont val="Calibri"/>
        <family val="2"/>
      </rPr>
      <t>IP-65</t>
    </r>
  </si>
  <si>
    <t>sn da w. IV-84w.
33-115-2</t>
  </si>
  <si>
    <t>Sromis danaxarji (34,4+1,48X20)/1000</t>
  </si>
  <si>
    <t>sxva manqanebi (3,21+20X0,09)/1000</t>
  </si>
  <si>
    <t>koSkura teleskopuri 0,35tn  (12,7+0,82X20)/1000 Xk=1,15</t>
  </si>
  <si>
    <t>wona  1m.</t>
  </si>
  <si>
    <t xml:space="preserve"> ABBГ4X16</t>
  </si>
  <si>
    <t xml:space="preserve"> ABBГ4X25</t>
  </si>
  <si>
    <t xml:space="preserve">           Seadgina:   i/m "akaki futkaraZe"</t>
  </si>
  <si>
    <t>milebis transportireba  100-300km-ze</t>
  </si>
  <si>
    <t>srf. 12-14</t>
  </si>
  <si>
    <t>milmzdi saavtomobilo svlaze 9t.</t>
  </si>
  <si>
    <t>samuSaoTa dasaxeleba</t>
  </si>
  <si>
    <t>ganzom.</t>
  </si>
  <si>
    <t xml:space="preserve">ormoebis amoReba boZebis dayenebis adgilebSi ormoamomTxremi manqaniT </t>
  </si>
  <si>
    <t>ganaTebis boZebis montaJi</t>
  </si>
  <si>
    <t>saZirkvlebis Sevseba betoniT b-15</t>
  </si>
  <si>
    <r>
      <t xml:space="preserve"> m</t>
    </r>
    <r>
      <rPr>
        <vertAlign val="superscript"/>
        <sz val="11"/>
        <color indexed="8"/>
        <rFont val="AcadNusx"/>
        <family val="0"/>
      </rPr>
      <t>3</t>
    </r>
  </si>
  <si>
    <t xml:space="preserve">saden-kabelis montaJi </t>
  </si>
  <si>
    <t>maT Soris  АВВГ 4X16</t>
  </si>
  <si>
    <t>maT Soris  ППВ 2X2,5</t>
  </si>
  <si>
    <t>sanaTi lapioni 70vt.</t>
  </si>
  <si>
    <t>kabelis 
kveTi</t>
  </si>
  <si>
    <t>boZebis
raodenoba</t>
  </si>
  <si>
    <t>kabelis 
sigrZe</t>
  </si>
  <si>
    <t>kabelis
 Camozneqvis 
koeficienti 2%</t>
  </si>
  <si>
    <t>mTliani sigrZe</t>
  </si>
  <si>
    <t>АВВГ 4x16</t>
  </si>
  <si>
    <t>ППИ-3 2x2,5</t>
  </si>
  <si>
    <t>m i l e b i s   s p e c i f i k a c i a</t>
  </si>
  <si>
    <t>dasax
eleba</t>
  </si>
  <si>
    <t>pozicia
 #</t>
  </si>
  <si>
    <t>zomebi 
mm.</t>
  </si>
  <si>
    <t>sigrZe
mm.</t>
  </si>
  <si>
    <t>raodenoba
cali</t>
  </si>
  <si>
    <t>saerTo
 sigrZe
m.</t>
  </si>
  <si>
    <t>wona
kg.</t>
  </si>
  <si>
    <t>mTliani 
wona</t>
  </si>
  <si>
    <t>gare ganaTebis boZi</t>
  </si>
  <si>
    <t>ф-139X4</t>
  </si>
  <si>
    <t>ф-50X3</t>
  </si>
  <si>
    <t>ф-40X3</t>
  </si>
  <si>
    <t>sul kg.</t>
  </si>
  <si>
    <t>maqanata
raodenoba</t>
  </si>
  <si>
    <t xml:space="preserve">ormoebis amoReba ormoamomTxremi manqaniT </t>
  </si>
  <si>
    <t>lTonis ganaTebis boZebis montaJi</t>
  </si>
  <si>
    <t>1. saburRi manqana a/amwe</t>
  </si>
  <si>
    <t>saden-kabelisa da sanaTebis montaJi</t>
  </si>
  <si>
    <t>amwekalaTa, (koSkura teleskopuri)</t>
  </si>
  <si>
    <t>liTonis furceli 2,5mm sisqis</t>
  </si>
  <si>
    <r>
      <t xml:space="preserve"> m</t>
    </r>
    <r>
      <rPr>
        <vertAlign val="superscript"/>
        <sz val="11"/>
        <color indexed="8"/>
        <rFont val="AcadNusx"/>
        <family val="0"/>
      </rPr>
      <t>2</t>
    </r>
  </si>
  <si>
    <t xml:space="preserve">liTonis glinula d=10mm </t>
  </si>
  <si>
    <t>gr.m.</t>
  </si>
  <si>
    <t>liTonis furceli 2,5mm sisqis boZebis qudisTvis d=139X3mm</t>
  </si>
  <si>
    <t>ჟ. შარტავას ქუჩის II შესახვევის გარე განათების მოწყობის</t>
  </si>
  <si>
    <t>ხარჯთაღრიცხვა</t>
  </si>
  <si>
    <t>№</t>
  </si>
  <si>
    <t>სამუშაოების და დანახარჯების დასახელება</t>
  </si>
  <si>
    <t>საზომი ერთეული</t>
  </si>
  <si>
    <t>რაოდენობა</t>
  </si>
  <si>
    <t>ღირებულება (ლარი)</t>
  </si>
  <si>
    <t>ნორმატივით ერთეულზე</t>
  </si>
  <si>
    <t>საპროექტო მონაცემებით</t>
  </si>
  <si>
    <t>ხელფასი</t>
  </si>
  <si>
    <t>მასალები</t>
  </si>
  <si>
    <t>ტრანსპორტი</t>
  </si>
  <si>
    <t>ჯამი</t>
  </si>
  <si>
    <t>ერთეული</t>
  </si>
  <si>
    <t>სულ</t>
  </si>
  <si>
    <t>სატრანსპორტო ხარჯები შიდა გადაზიდვებზე მასალიდან</t>
  </si>
  <si>
    <t>ზედნადები ხარჯები</t>
  </si>
  <si>
    <t>გეგმიური დაგროვება</t>
  </si>
  <si>
    <t>გაუთვალისწინებელი ხარჯი</t>
  </si>
  <si>
    <t>დღგ</t>
  </si>
  <si>
    <t>მთლიანად</t>
  </si>
  <si>
    <t>პრ</t>
  </si>
  <si>
    <t>ორმოების ამოღება ბოძების დაყენების ადგილებში ორმოამომთხრელი მანქანით და მონტაჟი</t>
  </si>
  <si>
    <t>ცალი</t>
  </si>
  <si>
    <t>ორმოების შევსება ბეტ. ბ-15</t>
  </si>
  <si>
    <r>
      <t>მ</t>
    </r>
    <r>
      <rPr>
        <b/>
        <sz val="10"/>
        <color indexed="8"/>
        <rFont val="Calibri"/>
        <family val="2"/>
      </rPr>
      <t>³</t>
    </r>
  </si>
  <si>
    <t>ბეტონი ბ-15 ტრანსპორტირებით</t>
  </si>
  <si>
    <t>ლითონის განათების ბოძების დამზადება</t>
  </si>
  <si>
    <t>ლითონის მილი დ=139X4მმ</t>
  </si>
  <si>
    <t>გრ/მ</t>
  </si>
  <si>
    <t>ლითონის მილი დ=50X3მმ</t>
  </si>
  <si>
    <t>ლითონის მილი დ=40X3,0მმ</t>
  </si>
  <si>
    <r>
      <t>მ</t>
    </r>
    <r>
      <rPr>
        <sz val="10"/>
        <color indexed="8"/>
        <rFont val="Calibri"/>
        <family val="2"/>
      </rPr>
      <t>²</t>
    </r>
  </si>
  <si>
    <t>ლითონის გლინულა დ=10მმ კაუჭი სიგრძით 17სმ</t>
  </si>
  <si>
    <t>მ</t>
  </si>
  <si>
    <t>მეტალის ბოძების შეღებვა ანტიკოროზიული საღებავით ორჯერ</t>
  </si>
  <si>
    <r>
      <t>მ</t>
    </r>
    <r>
      <rPr>
        <b/>
        <sz val="10"/>
        <color indexed="8"/>
        <rFont val="Calibri"/>
        <family val="2"/>
      </rPr>
      <t>²</t>
    </r>
  </si>
  <si>
    <t>საღებავი ზეთოვანი, მაღალი ხარისხის</t>
  </si>
  <si>
    <t>კგ</t>
  </si>
  <si>
    <t>სანათების მონტაჟი ლითონის ბოძებზე</t>
  </si>
  <si>
    <r>
      <t xml:space="preserve">სანათი (56X26X17) -(70 </t>
    </r>
    <r>
      <rPr>
        <sz val="10"/>
        <color indexed="8"/>
        <rFont val="Sylfaen"/>
        <family val="1"/>
      </rPr>
      <t xml:space="preserve">W), სიმძლავრე 35-125W, სიხშირე 50ჰც, ძაბვა 230V, დურა ალუმინის კორპუსით. ქურო-ე-27  </t>
    </r>
    <r>
      <rPr>
        <sz val="11"/>
        <color indexed="8"/>
        <rFont val="Sylfaen"/>
        <family val="1"/>
      </rPr>
      <t>IP-65</t>
    </r>
  </si>
  <si>
    <t>სადენ-კაბელების მონტაჟი ლითონის ბოძებზე</t>
  </si>
  <si>
    <t>გრძ.მ</t>
  </si>
  <si>
    <t>ალუმინის იზოლირებული სადენი  ABBГ4X16</t>
  </si>
  <si>
    <t>სპილენძის ძარღვით ППВ-3  2X2,5</t>
  </si>
  <si>
    <t>მხვრეტავი დამჭერი</t>
  </si>
  <si>
    <t>შუალედური დამჭერი</t>
  </si>
  <si>
    <t>ანკერული დამჭერი</t>
  </si>
  <si>
    <t>ლითონის ფურცელი 2,5მმ სისქის ბოძების ქუდისთვის დ=139X3მმ</t>
  </si>
</sst>
</file>

<file path=xl/styles.xml><?xml version="1.0" encoding="utf-8"?>
<styleSheet xmlns="http://schemas.openxmlformats.org/spreadsheetml/2006/main">
  <numFmts count="37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"/>
    <numFmt numFmtId="182" formatCode="0.0000"/>
    <numFmt numFmtId="183" formatCode="0.00000"/>
    <numFmt numFmtId="184" formatCode="0.000000"/>
    <numFmt numFmtId="185" formatCode="0.0000000"/>
    <numFmt numFmtId="186" formatCode="#,##0.0"/>
    <numFmt numFmtId="187" formatCode="#.##0.0"/>
    <numFmt numFmtId="188" formatCode="#.##0.00"/>
    <numFmt numFmtId="189" formatCode="#.##0."/>
    <numFmt numFmtId="190" formatCode="#.##0"/>
    <numFmt numFmtId="191" formatCode="#.##"/>
    <numFmt numFmtId="192" formatCode="0.0%"/>
  </numFmts>
  <fonts count="107">
    <font>
      <sz val="10"/>
      <name val="Arial Cyr"/>
      <family val="0"/>
    </font>
    <font>
      <sz val="10"/>
      <name val="Grigolia"/>
      <family val="0"/>
    </font>
    <font>
      <b/>
      <sz val="12"/>
      <name val="AcadNusx"/>
      <family val="0"/>
    </font>
    <font>
      <sz val="12"/>
      <name val="AcadNusx"/>
      <family val="0"/>
    </font>
    <font>
      <b/>
      <u val="single"/>
      <sz val="12"/>
      <name val="AcadNusx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Grigolia"/>
      <family val="0"/>
    </font>
    <font>
      <b/>
      <sz val="10"/>
      <name val="Tahoma"/>
      <family val="2"/>
    </font>
    <font>
      <b/>
      <sz val="14"/>
      <name val="AcadNusx"/>
      <family val="0"/>
    </font>
    <font>
      <vertAlign val="superscript"/>
      <sz val="12"/>
      <color indexed="8"/>
      <name val="AcadNusx"/>
      <family val="0"/>
    </font>
    <font>
      <sz val="12"/>
      <color indexed="8"/>
      <name val="AcadNusx"/>
      <family val="0"/>
    </font>
    <font>
      <b/>
      <sz val="12"/>
      <name val="Grigolia"/>
      <family val="0"/>
    </font>
    <font>
      <b/>
      <sz val="12"/>
      <name val="Tahoma"/>
      <family val="2"/>
    </font>
    <font>
      <b/>
      <sz val="11"/>
      <name val="Tahoma"/>
      <family val="2"/>
    </font>
    <font>
      <sz val="14"/>
      <name val="Grigolia"/>
      <family val="0"/>
    </font>
    <font>
      <sz val="12"/>
      <color indexed="8"/>
      <name val="Adobe Garamond Pro Bold"/>
      <family val="1"/>
    </font>
    <font>
      <b/>
      <sz val="14"/>
      <name val="Grigolia"/>
      <family val="0"/>
    </font>
    <font>
      <sz val="10"/>
      <color indexed="8"/>
      <name val="AcadNusx"/>
      <family val="0"/>
    </font>
    <font>
      <sz val="10"/>
      <name val="AcadMtavr"/>
      <family val="0"/>
    </font>
    <font>
      <b/>
      <sz val="10"/>
      <name val="AcadNusx"/>
      <family val="0"/>
    </font>
    <font>
      <b/>
      <sz val="11"/>
      <name val="AcadNusx"/>
      <family val="0"/>
    </font>
    <font>
      <b/>
      <i/>
      <sz val="10"/>
      <name val="AcadNusx"/>
      <family val="0"/>
    </font>
    <font>
      <sz val="10"/>
      <name val="AcadNusx"/>
      <family val="0"/>
    </font>
    <font>
      <b/>
      <vertAlign val="superscript"/>
      <sz val="10"/>
      <color indexed="8"/>
      <name val="AcadNusx"/>
      <family val="0"/>
    </font>
    <font>
      <vertAlign val="superscript"/>
      <sz val="10"/>
      <color indexed="8"/>
      <name val="AcadNusx"/>
      <family val="0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Grigolia"/>
      <family val="0"/>
    </font>
    <font>
      <sz val="11"/>
      <color indexed="8"/>
      <name val="Calibri"/>
      <family val="2"/>
    </font>
    <font>
      <sz val="10"/>
      <name val="AcadNusx_lb"/>
      <family val="1"/>
    </font>
    <font>
      <b/>
      <i/>
      <sz val="10"/>
      <name val="Arial Cyr"/>
      <family val="0"/>
    </font>
    <font>
      <sz val="11"/>
      <name val="AcadNusx_lb"/>
      <family val="1"/>
    </font>
    <font>
      <vertAlign val="superscript"/>
      <sz val="11"/>
      <color indexed="8"/>
      <name val="AcadNusx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1"/>
      <name val="AcadNusx"/>
      <family val="0"/>
    </font>
    <font>
      <b/>
      <i/>
      <sz val="10"/>
      <name val="Grigolia"/>
      <family val="0"/>
    </font>
    <font>
      <b/>
      <i/>
      <sz val="10"/>
      <name val="AcadMtavr"/>
      <family val="0"/>
    </font>
    <font>
      <sz val="11"/>
      <name val="Grigolia"/>
      <family val="0"/>
    </font>
    <font>
      <sz val="10"/>
      <name val="Sylfaen"/>
      <family val="1"/>
    </font>
    <font>
      <b/>
      <sz val="12"/>
      <name val="Sylfaen"/>
      <family val="1"/>
    </font>
    <font>
      <sz val="12"/>
      <name val="Sylfaen"/>
      <family val="1"/>
    </font>
    <font>
      <b/>
      <sz val="11"/>
      <name val="Sylfaen"/>
      <family val="1"/>
    </font>
    <font>
      <b/>
      <sz val="10"/>
      <name val="Sylfaen"/>
      <family val="1"/>
    </font>
    <font>
      <sz val="10"/>
      <color indexed="8"/>
      <name val="Sylfaen"/>
      <family val="1"/>
    </font>
    <font>
      <sz val="11"/>
      <color indexed="8"/>
      <name val="Sylfaen"/>
      <family val="1"/>
    </font>
    <font>
      <sz val="14"/>
      <name val="Sylfaen"/>
      <family val="1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cadNusx"/>
      <family val="0"/>
    </font>
    <font>
      <b/>
      <u val="single"/>
      <sz val="12"/>
      <color indexed="8"/>
      <name val="AcadNusx"/>
      <family val="0"/>
    </font>
    <font>
      <b/>
      <sz val="14"/>
      <color indexed="10"/>
      <name val="AcadNusx"/>
      <family val="0"/>
    </font>
    <font>
      <b/>
      <sz val="10"/>
      <color indexed="8"/>
      <name val="AcadNusx"/>
      <family val="0"/>
    </font>
    <font>
      <sz val="11"/>
      <color indexed="8"/>
      <name val="AcadNusx"/>
      <family val="0"/>
    </font>
    <font>
      <sz val="8"/>
      <color indexed="8"/>
      <name val="AcadNusx"/>
      <family val="0"/>
    </font>
    <font>
      <b/>
      <sz val="10"/>
      <color indexed="10"/>
      <name val="Arial Cyr"/>
      <family val="0"/>
    </font>
    <font>
      <sz val="9"/>
      <color indexed="8"/>
      <name val="AcadNusx"/>
      <family val="0"/>
    </font>
    <font>
      <sz val="12"/>
      <color indexed="8"/>
      <name val="Sylfaen"/>
      <family val="1"/>
    </font>
    <font>
      <b/>
      <sz val="10"/>
      <color indexed="8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cadNusx"/>
      <family val="0"/>
    </font>
    <font>
      <b/>
      <sz val="12"/>
      <color theme="1"/>
      <name val="AcadNusx"/>
      <family val="0"/>
    </font>
    <font>
      <b/>
      <u val="single"/>
      <sz val="12"/>
      <color theme="1"/>
      <name val="AcadNusx"/>
      <family val="0"/>
    </font>
    <font>
      <b/>
      <sz val="14"/>
      <color rgb="FFFF0000"/>
      <name val="AcadNusx"/>
      <family val="0"/>
    </font>
    <font>
      <sz val="10"/>
      <color theme="1"/>
      <name val="AcadNusx"/>
      <family val="0"/>
    </font>
    <font>
      <b/>
      <sz val="10"/>
      <color theme="1"/>
      <name val="AcadNusx"/>
      <family val="0"/>
    </font>
    <font>
      <sz val="11"/>
      <color theme="1"/>
      <name val="AcadNusx"/>
      <family val="0"/>
    </font>
    <font>
      <sz val="8"/>
      <color theme="1"/>
      <name val="AcadNusx"/>
      <family val="0"/>
    </font>
    <font>
      <b/>
      <sz val="10"/>
      <color rgb="FFFF0000"/>
      <name val="Arial Cyr"/>
      <family val="0"/>
    </font>
    <font>
      <sz val="9"/>
      <color theme="1"/>
      <name val="AcadNusx"/>
      <family val="0"/>
    </font>
    <font>
      <sz val="12"/>
      <color theme="1"/>
      <name val="Sylfaen"/>
      <family val="1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sz val="11"/>
      <color theme="1"/>
      <name val="Sylfae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28" borderId="7" applyNumberFormat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88" fillId="30" borderId="0" applyNumberFormat="0" applyBorder="0" applyAlignment="0" applyProtection="0"/>
    <xf numFmtId="0" fontId="8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4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181" fontId="3" fillId="0" borderId="11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3" fillId="0" borderId="0" xfId="0" applyFont="1" applyAlignment="1">
      <alignment horizontal="center"/>
    </xf>
    <xf numFmtId="0" fontId="93" fillId="0" borderId="11" xfId="0" applyFont="1" applyBorder="1" applyAlignment="1">
      <alignment horizontal="center" vertical="center" wrapText="1"/>
    </xf>
    <xf numFmtId="0" fontId="93" fillId="0" borderId="13" xfId="0" applyFont="1" applyBorder="1" applyAlignment="1">
      <alignment horizontal="center" vertical="center" wrapText="1"/>
    </xf>
    <xf numFmtId="0" fontId="93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181" fontId="93" fillId="0" borderId="11" xfId="0" applyNumberFormat="1" applyFont="1" applyBorder="1" applyAlignment="1">
      <alignment horizontal="center" vertical="center" wrapText="1"/>
    </xf>
    <xf numFmtId="0" fontId="93" fillId="0" borderId="12" xfId="0" applyFont="1" applyBorder="1" applyAlignment="1">
      <alignment horizontal="left" vertical="center" wrapText="1"/>
    </xf>
    <xf numFmtId="0" fontId="93" fillId="0" borderId="12" xfId="0" applyFont="1" applyBorder="1" applyAlignment="1">
      <alignment horizontal="center" vertical="top" wrapText="1"/>
    </xf>
    <xf numFmtId="0" fontId="93" fillId="0" borderId="12" xfId="0" applyFont="1" applyBorder="1" applyAlignment="1">
      <alignment horizontal="center" vertical="center" wrapText="1"/>
    </xf>
    <xf numFmtId="0" fontId="93" fillId="0" borderId="14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93" fillId="0" borderId="16" xfId="0" applyFont="1" applyBorder="1" applyAlignment="1">
      <alignment horizontal="left" vertical="center" wrapText="1"/>
    </xf>
    <xf numFmtId="0" fontId="93" fillId="0" borderId="16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4" xfId="0" applyFont="1" applyBorder="1" applyAlignment="1">
      <alignment horizontal="left" vertical="center" wrapText="1"/>
    </xf>
    <xf numFmtId="2" fontId="93" fillId="0" borderId="11" xfId="0" applyNumberFormat="1" applyFont="1" applyBorder="1" applyAlignment="1">
      <alignment horizontal="center" vertical="center" wrapText="1"/>
    </xf>
    <xf numFmtId="2" fontId="93" fillId="0" borderId="12" xfId="0" applyNumberFormat="1" applyFont="1" applyBorder="1" applyAlignment="1">
      <alignment horizontal="center" vertical="center" wrapText="1"/>
    </xf>
    <xf numFmtId="181" fontId="0" fillId="0" borderId="0" xfId="0" applyNumberFormat="1" applyAlignment="1">
      <alignment/>
    </xf>
    <xf numFmtId="0" fontId="93" fillId="0" borderId="11" xfId="0" applyFont="1" applyBorder="1" applyAlignment="1">
      <alignment horizontal="left" vertical="center" wrapText="1"/>
    </xf>
    <xf numFmtId="181" fontId="94" fillId="0" borderId="10" xfId="0" applyNumberFormat="1" applyFont="1" applyBorder="1" applyAlignment="1">
      <alignment horizontal="center" vertical="center" wrapText="1"/>
    </xf>
    <xf numFmtId="14" fontId="93" fillId="0" borderId="14" xfId="0" applyNumberFormat="1" applyFont="1" applyBorder="1" applyAlignment="1">
      <alignment horizontal="center" vertical="center" wrapText="1"/>
    </xf>
    <xf numFmtId="0" fontId="93" fillId="0" borderId="10" xfId="0" applyFont="1" applyBorder="1" applyAlignment="1">
      <alignment horizontal="center" vertical="center" wrapText="1"/>
    </xf>
    <xf numFmtId="181" fontId="95" fillId="0" borderId="10" xfId="0" applyNumberFormat="1" applyFont="1" applyBorder="1" applyAlignment="1">
      <alignment horizontal="center" vertical="center" wrapText="1"/>
    </xf>
    <xf numFmtId="0" fontId="93" fillId="0" borderId="10" xfId="0" applyFont="1" applyBorder="1" applyAlignment="1">
      <alignment horizontal="left" vertical="center" wrapText="1"/>
    </xf>
    <xf numFmtId="0" fontId="93" fillId="0" borderId="14" xfId="0" applyFont="1" applyBorder="1" applyAlignment="1">
      <alignment horizontal="center" vertical="top" wrapText="1"/>
    </xf>
    <xf numFmtId="181" fontId="93" fillId="0" borderId="14" xfId="0" applyNumberFormat="1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left" vertical="center" wrapText="1"/>
    </xf>
    <xf numFmtId="0" fontId="93" fillId="0" borderId="19" xfId="0" applyFont="1" applyBorder="1" applyAlignment="1">
      <alignment horizontal="center" vertical="center" wrapText="1"/>
    </xf>
    <xf numFmtId="181" fontId="93" fillId="0" borderId="19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181" fontId="3" fillId="0" borderId="12" xfId="0" applyNumberFormat="1" applyFont="1" applyBorder="1" applyAlignment="1">
      <alignment horizontal="center" vertical="center"/>
    </xf>
    <xf numFmtId="181" fontId="1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81" fontId="8" fillId="0" borderId="10" xfId="0" applyNumberFormat="1" applyFont="1" applyBorder="1" applyAlignment="1">
      <alignment horizontal="center" vertical="center"/>
    </xf>
    <xf numFmtId="0" fontId="93" fillId="0" borderId="13" xfId="0" applyFont="1" applyBorder="1" applyAlignment="1">
      <alignment horizontal="center" vertical="top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93" fillId="0" borderId="12" xfId="0" applyFont="1" applyFill="1" applyBorder="1" applyAlignment="1">
      <alignment horizontal="left" vertical="center" wrapText="1"/>
    </xf>
    <xf numFmtId="0" fontId="9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81" fontId="13" fillId="0" borderId="10" xfId="0" applyNumberFormat="1" applyFont="1" applyBorder="1" applyAlignment="1">
      <alignment horizontal="center" vertical="center"/>
    </xf>
    <xf numFmtId="181" fontId="14" fillId="0" borderId="10" xfId="0" applyNumberFormat="1" applyFont="1" applyBorder="1" applyAlignment="1">
      <alignment horizontal="center" vertical="center"/>
    </xf>
    <xf numFmtId="0" fontId="93" fillId="0" borderId="12" xfId="0" applyFont="1" applyFill="1" applyBorder="1" applyAlignment="1">
      <alignment horizontal="center" vertical="top" wrapText="1"/>
    </xf>
    <xf numFmtId="181" fontId="93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181" fontId="14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93" fillId="0" borderId="20" xfId="0" applyFont="1" applyBorder="1" applyAlignment="1">
      <alignment horizontal="center" vertical="center" wrapText="1"/>
    </xf>
    <xf numFmtId="17" fontId="93" fillId="0" borderId="14" xfId="0" applyNumberFormat="1" applyFont="1" applyBorder="1" applyAlignment="1">
      <alignment horizontal="center" vertical="center" wrapText="1"/>
    </xf>
    <xf numFmtId="0" fontId="93" fillId="0" borderId="17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181" fontId="94" fillId="0" borderId="20" xfId="0" applyNumberFormat="1" applyFont="1" applyBorder="1" applyAlignment="1">
      <alignment horizontal="center" vertical="center" wrapText="1"/>
    </xf>
    <xf numFmtId="181" fontId="2" fillId="0" borderId="20" xfId="0" applyNumberFormat="1" applyFont="1" applyBorder="1" applyAlignment="1">
      <alignment horizontal="center" vertical="center"/>
    </xf>
    <xf numFmtId="0" fontId="96" fillId="0" borderId="0" xfId="0" applyFont="1" applyBorder="1" applyAlignment="1">
      <alignment vertical="center"/>
    </xf>
    <xf numFmtId="0" fontId="0" fillId="0" borderId="0" xfId="0" applyAlignment="1">
      <alignment wrapText="1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181" fontId="3" fillId="0" borderId="17" xfId="0" applyNumberFormat="1" applyFont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93" fillId="0" borderId="11" xfId="0" applyFont="1" applyFill="1" applyBorder="1" applyAlignment="1">
      <alignment horizontal="left" vertical="center" wrapText="1"/>
    </xf>
    <xf numFmtId="2" fontId="2" fillId="0" borderId="1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3" fillId="0" borderId="19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/>
    </xf>
    <xf numFmtId="181" fontId="9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9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22" fillId="0" borderId="22" xfId="0" applyFont="1" applyBorder="1" applyAlignment="1">
      <alignment horizontal="center"/>
    </xf>
    <xf numFmtId="49" fontId="97" fillId="0" borderId="12" xfId="0" applyNumberFormat="1" applyFont="1" applyBorder="1" applyAlignment="1">
      <alignment horizontal="center" vertical="center" wrapText="1"/>
    </xf>
    <xf numFmtId="0" fontId="98" fillId="0" borderId="12" xfId="0" applyFont="1" applyBorder="1" applyAlignment="1">
      <alignment horizontal="center" vertical="center" wrapText="1"/>
    </xf>
    <xf numFmtId="0" fontId="97" fillId="0" borderId="23" xfId="0" applyFont="1" applyBorder="1" applyAlignment="1">
      <alignment vertical="center" wrapText="1"/>
    </xf>
    <xf numFmtId="0" fontId="97" fillId="0" borderId="24" xfId="0" applyFont="1" applyBorder="1" applyAlignment="1">
      <alignment vertical="center" wrapText="1"/>
    </xf>
    <xf numFmtId="0" fontId="97" fillId="0" borderId="25" xfId="0" applyFont="1" applyBorder="1" applyAlignment="1">
      <alignment vertical="center" wrapText="1"/>
    </xf>
    <xf numFmtId="0" fontId="97" fillId="0" borderId="10" xfId="0" applyFont="1" applyBorder="1" applyAlignment="1">
      <alignment horizontal="center" vertical="center" wrapText="1"/>
    </xf>
    <xf numFmtId="0" fontId="97" fillId="0" borderId="10" xfId="0" applyFont="1" applyBorder="1" applyAlignment="1">
      <alignment horizontal="left" vertical="center" wrapText="1"/>
    </xf>
    <xf numFmtId="2" fontId="97" fillId="0" borderId="10" xfId="0" applyNumberFormat="1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/>
    </xf>
    <xf numFmtId="179" fontId="97" fillId="0" borderId="10" xfId="60" applyFont="1" applyBorder="1" applyAlignment="1">
      <alignment horizontal="center" vertical="center" wrapText="1"/>
    </xf>
    <xf numFmtId="0" fontId="93" fillId="0" borderId="26" xfId="0" applyFont="1" applyBorder="1" applyAlignment="1">
      <alignment horizontal="center" vertical="top" wrapText="1"/>
    </xf>
    <xf numFmtId="0" fontId="97" fillId="0" borderId="22" xfId="0" applyFont="1" applyBorder="1" applyAlignment="1">
      <alignment horizontal="center" vertical="center" wrapText="1"/>
    </xf>
    <xf numFmtId="0" fontId="97" fillId="0" borderId="22" xfId="0" applyFont="1" applyBorder="1" applyAlignment="1">
      <alignment horizontal="left" vertical="center" wrapText="1"/>
    </xf>
    <xf numFmtId="180" fontId="97" fillId="0" borderId="22" xfId="0" applyNumberFormat="1" applyFont="1" applyBorder="1" applyAlignment="1">
      <alignment horizontal="center" vertical="center" wrapText="1"/>
    </xf>
    <xf numFmtId="179" fontId="97" fillId="0" borderId="22" xfId="6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/>
    </xf>
    <xf numFmtId="2" fontId="23" fillId="0" borderId="22" xfId="0" applyNumberFormat="1" applyFont="1" applyBorder="1" applyAlignment="1">
      <alignment horizontal="center" vertical="center"/>
    </xf>
    <xf numFmtId="0" fontId="93" fillId="0" borderId="27" xfId="0" applyFont="1" applyBorder="1" applyAlignment="1">
      <alignment horizontal="center" vertical="center" wrapText="1"/>
    </xf>
    <xf numFmtId="179" fontId="97" fillId="0" borderId="12" xfId="60" applyFont="1" applyBorder="1" applyAlignment="1">
      <alignment horizontal="center" vertical="center" wrapText="1"/>
    </xf>
    <xf numFmtId="181" fontId="97" fillId="0" borderId="10" xfId="0" applyNumberFormat="1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top"/>
    </xf>
    <xf numFmtId="0" fontId="93" fillId="0" borderId="26" xfId="0" applyFont="1" applyBorder="1" applyAlignment="1">
      <alignment horizontal="center" vertical="center" wrapText="1"/>
    </xf>
    <xf numFmtId="2" fontId="97" fillId="0" borderId="22" xfId="0" applyNumberFormat="1" applyFont="1" applyBorder="1" applyAlignment="1">
      <alignment horizontal="center" vertical="center" wrapText="1"/>
    </xf>
    <xf numFmtId="181" fontId="23" fillId="0" borderId="22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99" fillId="0" borderId="27" xfId="0" applyFont="1" applyBorder="1" applyAlignment="1">
      <alignment horizontal="center" vertical="center" wrapText="1"/>
    </xf>
    <xf numFmtId="0" fontId="98" fillId="0" borderId="10" xfId="0" applyFont="1" applyBorder="1" applyAlignment="1">
      <alignment horizontal="center" vertical="center" wrapText="1"/>
    </xf>
    <xf numFmtId="180" fontId="98" fillId="0" borderId="10" xfId="0" applyNumberFormat="1" applyFont="1" applyBorder="1" applyAlignment="1">
      <alignment horizontal="center" vertical="center" wrapText="1"/>
    </xf>
    <xf numFmtId="0" fontId="99" fillId="0" borderId="11" xfId="0" applyFont="1" applyBorder="1" applyAlignment="1">
      <alignment horizontal="center" wrapText="1"/>
    </xf>
    <xf numFmtId="180" fontId="97" fillId="0" borderId="10" xfId="0" applyNumberFormat="1" applyFont="1" applyBorder="1" applyAlignment="1">
      <alignment horizontal="center" vertical="center" wrapText="1"/>
    </xf>
    <xf numFmtId="0" fontId="97" fillId="0" borderId="12" xfId="0" applyFont="1" applyBorder="1" applyAlignment="1">
      <alignment horizontal="left" vertical="center" wrapText="1"/>
    </xf>
    <xf numFmtId="0" fontId="97" fillId="0" borderId="12" xfId="0" applyFont="1" applyBorder="1" applyAlignment="1">
      <alignment horizontal="center" vertical="center" wrapText="1"/>
    </xf>
    <xf numFmtId="180" fontId="97" fillId="0" borderId="12" xfId="0" applyNumberFormat="1" applyFont="1" applyBorder="1" applyAlignment="1">
      <alignment horizontal="center" vertical="center" wrapText="1"/>
    </xf>
    <xf numFmtId="2" fontId="97" fillId="0" borderId="12" xfId="0" applyNumberFormat="1" applyFont="1" applyBorder="1" applyAlignment="1">
      <alignment horizontal="center" vertical="center" wrapText="1"/>
    </xf>
    <xf numFmtId="181" fontId="23" fillId="0" borderId="10" xfId="0" applyNumberFormat="1" applyFont="1" applyFill="1" applyBorder="1" applyAlignment="1">
      <alignment horizontal="center" vertical="center"/>
    </xf>
    <xf numFmtId="181" fontId="23" fillId="0" borderId="10" xfId="0" applyNumberFormat="1" applyFont="1" applyBorder="1" applyAlignment="1">
      <alignment horizontal="center" vertical="center"/>
    </xf>
    <xf numFmtId="0" fontId="97" fillId="0" borderId="20" xfId="0" applyFont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/>
    </xf>
    <xf numFmtId="0" fontId="99" fillId="0" borderId="11" xfId="0" applyFont="1" applyBorder="1" applyAlignment="1">
      <alignment vertical="center" wrapText="1"/>
    </xf>
    <xf numFmtId="181" fontId="97" fillId="0" borderId="12" xfId="0" applyNumberFormat="1" applyFont="1" applyBorder="1" applyAlignment="1">
      <alignment horizontal="center" vertical="center" wrapText="1"/>
    </xf>
    <xf numFmtId="0" fontId="99" fillId="0" borderId="26" xfId="0" applyFont="1" applyBorder="1" applyAlignment="1">
      <alignment horizontal="center" wrapText="1"/>
    </xf>
    <xf numFmtId="0" fontId="97" fillId="0" borderId="22" xfId="0" applyFont="1" applyBorder="1" applyAlignment="1">
      <alignment vertical="center" wrapText="1"/>
    </xf>
    <xf numFmtId="0" fontId="98" fillId="0" borderId="28" xfId="0" applyFont="1" applyBorder="1" applyAlignment="1">
      <alignment horizontal="left" vertical="center" wrapText="1"/>
    </xf>
    <xf numFmtId="0" fontId="98" fillId="0" borderId="28" xfId="0" applyFont="1" applyBorder="1" applyAlignment="1">
      <alignment horizontal="center" vertical="center" wrapText="1"/>
    </xf>
    <xf numFmtId="0" fontId="97" fillId="0" borderId="29" xfId="0" applyFont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left" vertical="center" wrapText="1"/>
    </xf>
    <xf numFmtId="0" fontId="97" fillId="0" borderId="26" xfId="0" applyFont="1" applyFill="1" applyBorder="1" applyAlignment="1">
      <alignment horizontal="center" vertical="center" wrapText="1"/>
    </xf>
    <xf numFmtId="0" fontId="97" fillId="0" borderId="30" xfId="0" applyFont="1" applyFill="1" applyBorder="1" applyAlignment="1">
      <alignment horizontal="center" vertical="center" wrapText="1"/>
    </xf>
    <xf numFmtId="181" fontId="97" fillId="0" borderId="22" xfId="0" applyNumberFormat="1" applyFont="1" applyFill="1" applyBorder="1" applyAlignment="1">
      <alignment horizontal="center" vertical="center" wrapText="1"/>
    </xf>
    <xf numFmtId="0" fontId="99" fillId="0" borderId="11" xfId="0" applyFont="1" applyBorder="1" applyAlignment="1">
      <alignment horizontal="center" vertical="center" wrapText="1"/>
    </xf>
    <xf numFmtId="0" fontId="98" fillId="0" borderId="12" xfId="0" applyFont="1" applyBorder="1" applyAlignment="1">
      <alignment horizontal="left" vertical="center" wrapText="1"/>
    </xf>
    <xf numFmtId="181" fontId="98" fillId="0" borderId="10" xfId="0" applyNumberFormat="1" applyFont="1" applyBorder="1" applyAlignment="1">
      <alignment horizontal="center" vertical="center" wrapText="1"/>
    </xf>
    <xf numFmtId="0" fontId="97" fillId="0" borderId="31" xfId="0" applyFont="1" applyBorder="1" applyAlignment="1">
      <alignment vertical="center" wrapText="1"/>
    </xf>
    <xf numFmtId="0" fontId="97" fillId="0" borderId="32" xfId="0" applyFont="1" applyBorder="1" applyAlignment="1">
      <alignment vertical="center" wrapText="1"/>
    </xf>
    <xf numFmtId="0" fontId="97" fillId="0" borderId="20" xfId="0" applyFont="1" applyBorder="1" applyAlignment="1">
      <alignment vertical="center" wrapText="1"/>
    </xf>
    <xf numFmtId="0" fontId="97" fillId="0" borderId="10" xfId="0" applyFont="1" applyBorder="1" applyAlignment="1">
      <alignment vertical="center" wrapText="1"/>
    </xf>
    <xf numFmtId="0" fontId="97" fillId="0" borderId="11" xfId="0" applyFont="1" applyBorder="1" applyAlignment="1">
      <alignment vertical="center" wrapText="1"/>
    </xf>
    <xf numFmtId="0" fontId="97" fillId="0" borderId="14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97" fillId="33" borderId="10" xfId="0" applyFont="1" applyFill="1" applyBorder="1" applyAlignment="1">
      <alignment horizontal="center" vertical="center" wrapText="1"/>
    </xf>
    <xf numFmtId="0" fontId="100" fillId="0" borderId="14" xfId="0" applyFont="1" applyBorder="1" applyAlignment="1">
      <alignment vertical="center" wrapText="1"/>
    </xf>
    <xf numFmtId="2" fontId="97" fillId="33" borderId="10" xfId="0" applyNumberFormat="1" applyFont="1" applyFill="1" applyBorder="1" applyAlignment="1">
      <alignment horizontal="center" vertical="center" wrapText="1"/>
    </xf>
    <xf numFmtId="1" fontId="97" fillId="0" borderId="10" xfId="0" applyNumberFormat="1" applyFont="1" applyBorder="1" applyAlignment="1">
      <alignment horizontal="center" vertical="center" wrapText="1"/>
    </xf>
    <xf numFmtId="0" fontId="97" fillId="33" borderId="22" xfId="0" applyFont="1" applyFill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/>
    </xf>
    <xf numFmtId="2" fontId="101" fillId="0" borderId="0" xfId="0" applyNumberFormat="1" applyFont="1" applyAlignment="1">
      <alignment/>
    </xf>
    <xf numFmtId="9" fontId="21" fillId="0" borderId="20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180" fontId="98" fillId="0" borderId="12" xfId="0" applyNumberFormat="1" applyFont="1" applyBorder="1" applyAlignment="1">
      <alignment horizontal="center" vertical="center" wrapText="1"/>
    </xf>
    <xf numFmtId="179" fontId="97" fillId="0" borderId="23" xfId="60" applyFont="1" applyBorder="1" applyAlignment="1">
      <alignment vertical="center" wrapText="1"/>
    </xf>
    <xf numFmtId="179" fontId="97" fillId="0" borderId="24" xfId="60" applyFont="1" applyBorder="1" applyAlignment="1">
      <alignment vertical="center" wrapText="1"/>
    </xf>
    <xf numFmtId="179" fontId="97" fillId="0" borderId="25" xfId="60" applyFont="1" applyBorder="1" applyAlignment="1">
      <alignment vertical="center" wrapText="1"/>
    </xf>
    <xf numFmtId="0" fontId="97" fillId="0" borderId="12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2" fillId="33" borderId="21" xfId="0" applyFont="1" applyFill="1" applyBorder="1" applyAlignment="1">
      <alignment horizontal="left" vertical="center" wrapText="1"/>
    </xf>
    <xf numFmtId="0" fontId="22" fillId="33" borderId="22" xfId="0" applyFont="1" applyFill="1" applyBorder="1" applyAlignment="1">
      <alignment horizontal="center"/>
    </xf>
    <xf numFmtId="49" fontId="102" fillId="0" borderId="12" xfId="0" applyNumberFormat="1" applyFont="1" applyBorder="1" applyAlignment="1">
      <alignment horizontal="center" vertical="center" wrapText="1"/>
    </xf>
    <xf numFmtId="0" fontId="98" fillId="33" borderId="12" xfId="0" applyFont="1" applyFill="1" applyBorder="1" applyAlignment="1">
      <alignment horizontal="center" vertical="center" wrapText="1"/>
    </xf>
    <xf numFmtId="0" fontId="101" fillId="34" borderId="0" xfId="0" applyFont="1" applyFill="1" applyAlignment="1">
      <alignment horizontal="center" vertical="center"/>
    </xf>
    <xf numFmtId="0" fontId="97" fillId="33" borderId="10" xfId="0" applyFont="1" applyFill="1" applyBorder="1" applyAlignment="1">
      <alignment horizontal="left" vertical="center" wrapText="1"/>
    </xf>
    <xf numFmtId="0" fontId="93" fillId="0" borderId="11" xfId="0" applyFont="1" applyBorder="1" applyAlignment="1">
      <alignment vertical="top" wrapText="1"/>
    </xf>
    <xf numFmtId="0" fontId="93" fillId="0" borderId="26" xfId="0" applyFont="1" applyBorder="1" applyAlignment="1">
      <alignment vertical="top" wrapText="1"/>
    </xf>
    <xf numFmtId="0" fontId="97" fillId="0" borderId="26" xfId="0" applyFont="1" applyBorder="1" applyAlignment="1">
      <alignment vertical="center" wrapText="1"/>
    </xf>
    <xf numFmtId="0" fontId="97" fillId="33" borderId="26" xfId="0" applyFont="1" applyFill="1" applyBorder="1" applyAlignment="1">
      <alignment horizontal="left" vertical="center" wrapText="1"/>
    </xf>
    <xf numFmtId="0" fontId="97" fillId="0" borderId="26" xfId="0" applyFont="1" applyBorder="1" applyAlignment="1">
      <alignment horizontal="center" vertical="center" wrapText="1"/>
    </xf>
    <xf numFmtId="2" fontId="97" fillId="0" borderId="26" xfId="0" applyNumberFormat="1" applyFont="1" applyBorder="1" applyAlignment="1">
      <alignment horizontal="center" vertical="center" wrapText="1"/>
    </xf>
    <xf numFmtId="179" fontId="97" fillId="0" borderId="26" xfId="60" applyFont="1" applyBorder="1" applyAlignment="1">
      <alignment horizontal="center" vertical="center" wrapText="1"/>
    </xf>
    <xf numFmtId="0" fontId="97" fillId="33" borderId="22" xfId="0" applyFont="1" applyFill="1" applyBorder="1" applyAlignment="1">
      <alignment horizontal="left" vertical="center" wrapText="1"/>
    </xf>
    <xf numFmtId="0" fontId="98" fillId="33" borderId="12" xfId="0" applyFont="1" applyFill="1" applyBorder="1" applyAlignment="1">
      <alignment horizontal="left" vertical="center" wrapText="1"/>
    </xf>
    <xf numFmtId="1" fontId="98" fillId="0" borderId="10" xfId="0" applyNumberFormat="1" applyFont="1" applyBorder="1" applyAlignment="1">
      <alignment horizontal="center" vertical="center" wrapText="1"/>
    </xf>
    <xf numFmtId="0" fontId="97" fillId="33" borderId="12" xfId="0" applyFont="1" applyFill="1" applyBorder="1" applyAlignment="1">
      <alignment horizontal="left" vertical="center" wrapText="1"/>
    </xf>
    <xf numFmtId="0" fontId="0" fillId="10" borderId="10" xfId="0" applyFill="1" applyBorder="1" applyAlignment="1">
      <alignment horizontal="center"/>
    </xf>
    <xf numFmtId="0" fontId="97" fillId="10" borderId="10" xfId="0" applyFont="1" applyFill="1" applyBorder="1" applyAlignment="1">
      <alignment horizontal="center" vertical="center" wrapText="1"/>
    </xf>
    <xf numFmtId="0" fontId="99" fillId="0" borderId="11" xfId="0" applyFont="1" applyBorder="1" applyAlignment="1">
      <alignment wrapText="1"/>
    </xf>
    <xf numFmtId="0" fontId="99" fillId="0" borderId="12" xfId="0" applyFont="1" applyBorder="1" applyAlignment="1">
      <alignment wrapText="1"/>
    </xf>
    <xf numFmtId="0" fontId="99" fillId="0" borderId="26" xfId="0" applyFont="1" applyBorder="1" applyAlignment="1">
      <alignment wrapText="1"/>
    </xf>
    <xf numFmtId="180" fontId="97" fillId="0" borderId="26" xfId="0" applyNumberFormat="1" applyFont="1" applyBorder="1" applyAlignment="1">
      <alignment horizontal="center" vertical="center" wrapText="1"/>
    </xf>
    <xf numFmtId="0" fontId="98" fillId="33" borderId="28" xfId="0" applyFont="1" applyFill="1" applyBorder="1" applyAlignment="1">
      <alignment horizontal="left" vertical="center" wrapText="1"/>
    </xf>
    <xf numFmtId="2" fontId="98" fillId="0" borderId="28" xfId="0" applyNumberFormat="1" applyFont="1" applyBorder="1" applyAlignment="1">
      <alignment horizontal="center" vertical="center" wrapText="1"/>
    </xf>
    <xf numFmtId="0" fontId="0" fillId="10" borderId="10" xfId="0" applyFill="1" applyBorder="1" applyAlignment="1">
      <alignment/>
    </xf>
    <xf numFmtId="0" fontId="0" fillId="0" borderId="10" xfId="0" applyBorder="1" applyAlignment="1">
      <alignment/>
    </xf>
    <xf numFmtId="0" fontId="18" fillId="33" borderId="26" xfId="0" applyFont="1" applyFill="1" applyBorder="1" applyAlignment="1">
      <alignment horizontal="left" vertical="center" wrapText="1"/>
    </xf>
    <xf numFmtId="2" fontId="97" fillId="0" borderId="3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2" fontId="101" fillId="0" borderId="10" xfId="0" applyNumberFormat="1" applyFont="1" applyBorder="1" applyAlignment="1">
      <alignment horizontal="center" vertical="center"/>
    </xf>
    <xf numFmtId="182" fontId="97" fillId="0" borderId="10" xfId="0" applyNumberFormat="1" applyFont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center"/>
    </xf>
    <xf numFmtId="1" fontId="97" fillId="0" borderId="2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81" fontId="8" fillId="0" borderId="12" xfId="0" applyNumberFormat="1" applyFont="1" applyBorder="1" applyAlignment="1">
      <alignment horizontal="center" vertical="center"/>
    </xf>
    <xf numFmtId="192" fontId="20" fillId="0" borderId="2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9" fontId="20" fillId="0" borderId="20" xfId="0" applyNumberFormat="1" applyFont="1" applyBorder="1" applyAlignment="1">
      <alignment horizontal="center" vertical="center"/>
    </xf>
    <xf numFmtId="192" fontId="1" fillId="0" borderId="0" xfId="0" applyNumberFormat="1" applyFont="1" applyAlignment="1">
      <alignment/>
    </xf>
    <xf numFmtId="10" fontId="20" fillId="0" borderId="20" xfId="0" applyNumberFormat="1" applyFont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1" fontId="8" fillId="0" borderId="10" xfId="0" applyNumberFormat="1" applyFont="1" applyBorder="1" applyAlignment="1">
      <alignment horizontal="center" vertical="center"/>
    </xf>
    <xf numFmtId="0" fontId="97" fillId="33" borderId="10" xfId="0" applyFont="1" applyFill="1" applyBorder="1" applyAlignment="1">
      <alignment vertical="center" wrapText="1"/>
    </xf>
    <xf numFmtId="0" fontId="99" fillId="0" borderId="14" xfId="0" applyFont="1" applyBorder="1" applyAlignment="1">
      <alignment wrapText="1"/>
    </xf>
    <xf numFmtId="0" fontId="19" fillId="0" borderId="31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31" fillId="0" borderId="2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2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99" fillId="0" borderId="10" xfId="0" applyFont="1" applyBorder="1" applyAlignment="1">
      <alignment horizontal="center" vertical="center" wrapText="1"/>
    </xf>
    <xf numFmtId="2" fontId="32" fillId="33" borderId="10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101" fillId="35" borderId="0" xfId="0" applyFont="1" applyFill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2" fontId="34" fillId="0" borderId="10" xfId="0" applyNumberFormat="1" applyFont="1" applyBorder="1" applyAlignment="1">
      <alignment horizontal="center" vertical="center"/>
    </xf>
    <xf numFmtId="2" fontId="101" fillId="35" borderId="0" xfId="0" applyNumberFormat="1" applyFont="1" applyFill="1" applyAlignment="1">
      <alignment horizontal="center" vertical="center"/>
    </xf>
    <xf numFmtId="2" fontId="36" fillId="0" borderId="0" xfId="0" applyNumberFormat="1" applyFont="1" applyAlignment="1">
      <alignment/>
    </xf>
    <xf numFmtId="0" fontId="23" fillId="0" borderId="10" xfId="0" applyFont="1" applyBorder="1" applyAlignment="1">
      <alignment horizontal="center" vertical="center" textRotation="90" wrapText="1"/>
    </xf>
    <xf numFmtId="0" fontId="37" fillId="0" borderId="10" xfId="0" applyFont="1" applyBorder="1" applyAlignment="1">
      <alignment horizontal="center" vertical="center"/>
    </xf>
    <xf numFmtId="181" fontId="37" fillId="0" borderId="10" xfId="0" applyNumberFormat="1" applyFont="1" applyBorder="1" applyAlignment="1">
      <alignment horizontal="center" vertical="center"/>
    </xf>
    <xf numFmtId="181" fontId="34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40" fillId="0" borderId="14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180" fontId="32" fillId="33" borderId="10" xfId="0" applyNumberFormat="1" applyFont="1" applyFill="1" applyBorder="1" applyAlignment="1">
      <alignment horizontal="center" vertical="center"/>
    </xf>
    <xf numFmtId="1" fontId="32" fillId="33" borderId="1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41" fillId="33" borderId="0" xfId="0" applyFont="1" applyFill="1" applyAlignment="1">
      <alignment/>
    </xf>
    <xf numFmtId="0" fontId="41" fillId="0" borderId="0" xfId="0" applyFont="1" applyBorder="1" applyAlignment="1">
      <alignment/>
    </xf>
    <xf numFmtId="0" fontId="42" fillId="0" borderId="21" xfId="0" applyFont="1" applyBorder="1" applyAlignment="1">
      <alignment horizontal="left" vertical="center" wrapText="1"/>
    </xf>
    <xf numFmtId="0" fontId="42" fillId="33" borderId="21" xfId="0" applyFont="1" applyFill="1" applyBorder="1" applyAlignment="1">
      <alignment horizontal="left" vertical="center" wrapText="1"/>
    </xf>
    <xf numFmtId="0" fontId="103" fillId="0" borderId="10" xfId="0" applyFont="1" applyBorder="1" applyAlignment="1">
      <alignment horizontal="center" vertical="top" wrapText="1"/>
    </xf>
    <xf numFmtId="0" fontId="104" fillId="33" borderId="10" xfId="0" applyFont="1" applyFill="1" applyBorder="1" applyAlignment="1">
      <alignment horizontal="center" vertical="center" wrapText="1"/>
    </xf>
    <xf numFmtId="0" fontId="104" fillId="0" borderId="10" xfId="0" applyFont="1" applyBorder="1" applyAlignment="1">
      <alignment horizontal="center" vertical="center" wrapText="1"/>
    </xf>
    <xf numFmtId="179" fontId="105" fillId="0" borderId="10" xfId="60" applyFont="1" applyBorder="1" applyAlignment="1">
      <alignment horizontal="center" vertical="center" wrapText="1"/>
    </xf>
    <xf numFmtId="2" fontId="105" fillId="0" borderId="10" xfId="0" applyNumberFormat="1" applyFont="1" applyBorder="1" applyAlignment="1">
      <alignment horizontal="center" vertical="center" wrapText="1"/>
    </xf>
    <xf numFmtId="0" fontId="103" fillId="0" borderId="10" xfId="0" applyFont="1" applyBorder="1" applyAlignment="1">
      <alignment horizontal="center" vertical="center" wrapText="1"/>
    </xf>
    <xf numFmtId="180" fontId="104" fillId="0" borderId="10" xfId="0" applyNumberFormat="1" applyFont="1" applyBorder="1" applyAlignment="1">
      <alignment horizontal="center" vertical="center" wrapText="1"/>
    </xf>
    <xf numFmtId="0" fontId="105" fillId="33" borderId="10" xfId="0" applyFont="1" applyFill="1" applyBorder="1" applyAlignment="1">
      <alignment horizontal="left" vertical="center" wrapText="1"/>
    </xf>
    <xf numFmtId="0" fontId="105" fillId="0" borderId="10" xfId="0" applyFont="1" applyBorder="1" applyAlignment="1">
      <alignment horizontal="center" vertical="center" wrapText="1"/>
    </xf>
    <xf numFmtId="180" fontId="105" fillId="0" borderId="10" xfId="0" applyNumberFormat="1" applyFont="1" applyBorder="1" applyAlignment="1">
      <alignment horizontal="center" vertical="center" wrapText="1"/>
    </xf>
    <xf numFmtId="0" fontId="106" fillId="0" borderId="10" xfId="0" applyFont="1" applyBorder="1" applyAlignment="1">
      <alignment horizontal="center" vertical="center" wrapText="1"/>
    </xf>
    <xf numFmtId="0" fontId="104" fillId="33" borderId="10" xfId="0" applyFont="1" applyFill="1" applyBorder="1" applyAlignment="1">
      <alignment horizontal="left" vertical="center" wrapText="1"/>
    </xf>
    <xf numFmtId="1" fontId="104" fillId="0" borderId="10" xfId="0" applyNumberFormat="1" applyFont="1" applyBorder="1" applyAlignment="1">
      <alignment horizontal="center" vertical="center" wrapText="1"/>
    </xf>
    <xf numFmtId="0" fontId="106" fillId="0" borderId="10" xfId="0" applyFont="1" applyBorder="1" applyAlignment="1">
      <alignment horizontal="center" wrapText="1"/>
    </xf>
    <xf numFmtId="181" fontId="105" fillId="0" borderId="10" xfId="0" applyNumberFormat="1" applyFont="1" applyBorder="1" applyAlignment="1">
      <alignment horizontal="center" vertical="center" wrapText="1"/>
    </xf>
    <xf numFmtId="0" fontId="106" fillId="0" borderId="10" xfId="0" applyFont="1" applyBorder="1" applyAlignment="1">
      <alignment wrapText="1"/>
    </xf>
    <xf numFmtId="2" fontId="104" fillId="0" borderId="10" xfId="0" applyNumberFormat="1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105" fillId="0" borderId="10" xfId="0" applyFont="1" applyFill="1" applyBorder="1" applyAlignment="1">
      <alignment horizontal="center" vertical="center" wrapText="1"/>
    </xf>
    <xf numFmtId="2" fontId="105" fillId="0" borderId="10" xfId="0" applyNumberFormat="1" applyFont="1" applyFill="1" applyBorder="1" applyAlignment="1">
      <alignment horizontal="center" vertical="center" wrapText="1"/>
    </xf>
    <xf numFmtId="0" fontId="106" fillId="0" borderId="10" xfId="0" applyFont="1" applyBorder="1" applyAlignment="1">
      <alignment vertical="center" wrapText="1"/>
    </xf>
    <xf numFmtId="1" fontId="105" fillId="0" borderId="10" xfId="0" applyNumberFormat="1" applyFont="1" applyBorder="1" applyAlignment="1">
      <alignment horizontal="center" vertical="center" wrapText="1"/>
    </xf>
    <xf numFmtId="181" fontId="104" fillId="0" borderId="10" xfId="0" applyNumberFormat="1" applyFont="1" applyBorder="1" applyAlignment="1">
      <alignment horizontal="center" vertical="center" wrapText="1"/>
    </xf>
    <xf numFmtId="181" fontId="45" fillId="0" borderId="10" xfId="0" applyNumberFormat="1" applyFont="1" applyBorder="1" applyAlignment="1">
      <alignment horizontal="center" vertical="center"/>
    </xf>
    <xf numFmtId="2" fontId="45" fillId="0" borderId="10" xfId="0" applyNumberFormat="1" applyFont="1" applyBorder="1" applyAlignment="1">
      <alignment horizontal="center" vertical="center"/>
    </xf>
    <xf numFmtId="192" fontId="45" fillId="0" borderId="10" xfId="0" applyNumberFormat="1" applyFont="1" applyBorder="1" applyAlignment="1">
      <alignment horizontal="center" vertical="center"/>
    </xf>
    <xf numFmtId="9" fontId="45" fillId="0" borderId="10" xfId="0" applyNumberFormat="1" applyFont="1" applyBorder="1" applyAlignment="1">
      <alignment horizontal="center" vertical="center"/>
    </xf>
    <xf numFmtId="192" fontId="41" fillId="0" borderId="10" xfId="0" applyNumberFormat="1" applyFont="1" applyBorder="1" applyAlignment="1">
      <alignment/>
    </xf>
    <xf numFmtId="10" fontId="45" fillId="0" borderId="10" xfId="0" applyNumberFormat="1" applyFont="1" applyBorder="1" applyAlignment="1">
      <alignment vertical="center"/>
    </xf>
    <xf numFmtId="1" fontId="45" fillId="0" borderId="1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45" fillId="0" borderId="10" xfId="0" applyFont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105" fillId="33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81" fontId="1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102" fillId="0" borderId="27" xfId="0" applyNumberFormat="1" applyFont="1" applyBorder="1" applyAlignment="1">
      <alignment horizontal="center" vertical="center" wrapText="1"/>
    </xf>
    <xf numFmtId="49" fontId="102" fillId="0" borderId="11" xfId="0" applyNumberFormat="1" applyFont="1" applyBorder="1" applyAlignment="1">
      <alignment horizontal="center" vertical="center" wrapText="1"/>
    </xf>
    <xf numFmtId="0" fontId="97" fillId="0" borderId="27" xfId="0" applyFont="1" applyBorder="1" applyAlignment="1">
      <alignment horizontal="center" vertical="center" wrapText="1"/>
    </xf>
    <xf numFmtId="0" fontId="97" fillId="0" borderId="11" xfId="0" applyFont="1" applyBorder="1" applyAlignment="1">
      <alignment horizontal="center" vertical="center" wrapText="1"/>
    </xf>
    <xf numFmtId="0" fontId="97" fillId="0" borderId="12" xfId="0" applyFont="1" applyBorder="1" applyAlignment="1">
      <alignment horizontal="center" vertical="center" wrapText="1"/>
    </xf>
    <xf numFmtId="0" fontId="97" fillId="0" borderId="33" xfId="0" applyFont="1" applyBorder="1" applyAlignment="1">
      <alignment horizontal="center" vertical="center" wrapText="1"/>
    </xf>
    <xf numFmtId="0" fontId="97" fillId="0" borderId="1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right" vertical="center" wrapText="1"/>
    </xf>
    <xf numFmtId="0" fontId="21" fillId="0" borderId="24" xfId="0" applyFont="1" applyBorder="1" applyAlignment="1">
      <alignment horizontal="right" vertical="center" wrapText="1"/>
    </xf>
    <xf numFmtId="0" fontId="21" fillId="0" borderId="25" xfId="0" applyFont="1" applyBorder="1" applyAlignment="1">
      <alignment horizontal="righ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center" vertical="center" textRotation="90" wrapText="1"/>
    </xf>
    <xf numFmtId="0" fontId="2" fillId="33" borderId="0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textRotation="90"/>
    </xf>
    <xf numFmtId="0" fontId="20" fillId="0" borderId="12" xfId="0" applyFont="1" applyBorder="1" applyAlignment="1">
      <alignment horizontal="center" vertical="center" textRotation="90"/>
    </xf>
    <xf numFmtId="0" fontId="20" fillId="0" borderId="12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2" fontId="17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2" fontId="9" fillId="33" borderId="0" xfId="0" applyNumberFormat="1" applyFont="1" applyFill="1" applyAlignment="1">
      <alignment horizontal="center" vertical="center"/>
    </xf>
    <xf numFmtId="0" fontId="20" fillId="0" borderId="10" xfId="0" applyFont="1" applyBorder="1" applyAlignment="1">
      <alignment horizontal="right" vertical="center"/>
    </xf>
    <xf numFmtId="0" fontId="20" fillId="0" borderId="10" xfId="0" applyFont="1" applyBorder="1" applyAlignment="1">
      <alignment horizontal="center" vertical="center"/>
    </xf>
    <xf numFmtId="0" fontId="20" fillId="0" borderId="23" xfId="0" applyFont="1" applyBorder="1" applyAlignment="1">
      <alignment horizontal="right" vertical="center" wrapText="1"/>
    </xf>
    <xf numFmtId="0" fontId="20" fillId="0" borderId="24" xfId="0" applyFont="1" applyBorder="1" applyAlignment="1">
      <alignment horizontal="right" vertical="center" wrapText="1"/>
    </xf>
    <xf numFmtId="0" fontId="20" fillId="0" borderId="21" xfId="0" applyFont="1" applyBorder="1" applyAlignment="1">
      <alignment horizontal="right" vertical="center" wrapText="1"/>
    </xf>
    <xf numFmtId="0" fontId="20" fillId="0" borderId="17" xfId="0" applyFont="1" applyBorder="1" applyAlignment="1">
      <alignment horizontal="right" vertical="center" wrapText="1"/>
    </xf>
    <xf numFmtId="0" fontId="97" fillId="0" borderId="14" xfId="0" applyFont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1" fontId="17" fillId="33" borderId="0" xfId="0" applyNumberFormat="1" applyFont="1" applyFill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3" fillId="0" borderId="12" xfId="0" applyFont="1" applyBorder="1" applyAlignment="1">
      <alignment horizontal="center" vertical="center" textRotation="90" wrapText="1"/>
    </xf>
    <xf numFmtId="0" fontId="37" fillId="0" borderId="31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/>
    </xf>
    <xf numFmtId="0" fontId="34" fillId="0" borderId="32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12" fillId="0" borderId="3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45" fillId="0" borderId="10" xfId="0" applyFont="1" applyBorder="1" applyAlignment="1">
      <alignment horizontal="right" vertical="center"/>
    </xf>
    <xf numFmtId="0" fontId="45" fillId="0" borderId="14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righ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2" xfId="0" applyFont="1" applyBorder="1" applyAlignment="1">
      <alignment horizontal="center" vertical="center" textRotation="90" wrapText="1"/>
    </xf>
    <xf numFmtId="0" fontId="45" fillId="0" borderId="11" xfId="0" applyFont="1" applyBorder="1" applyAlignment="1">
      <alignment horizontal="center" vertical="center" textRotation="90" wrapText="1"/>
    </xf>
    <xf numFmtId="0" fontId="42" fillId="0" borderId="0" xfId="0" applyFont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top" wrapText="1"/>
    </xf>
    <xf numFmtId="0" fontId="45" fillId="0" borderId="20" xfId="0" applyFont="1" applyBorder="1" applyAlignment="1">
      <alignment horizontal="center" vertical="top" wrapText="1"/>
    </xf>
    <xf numFmtId="0" fontId="45" fillId="0" borderId="3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15W.%20PROEQTEBI\&#4306;&#4304;&#4320;&#4308;%20&#4306;&#4304;&#4316;&#4304;&#4311;&#4308;&#4305;&#4304;%202015\10+&#4311;&#4304;&#4311;&#4304;&#4320;&#4312;&#4328;&#4309;&#4312;&#4314;&#4312;&#4321;%20&#4325;&#4323;&#4329;&#4304;\10-tatariSvi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2"/>
      <sheetName val="axali-2015-10"/>
      <sheetName val="saboloo-10"/>
      <sheetName val="Лист1"/>
    </sheetNames>
    <sheetDataSet>
      <sheetData sheetId="2">
        <row r="48">
          <cell r="G48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437"/>
  <sheetViews>
    <sheetView zoomScale="110" zoomScaleNormal="110" zoomScalePageLayoutView="0" workbookViewId="0" topLeftCell="A1">
      <selection activeCell="A1" sqref="A1:IV1"/>
    </sheetView>
  </sheetViews>
  <sheetFormatPr defaultColWidth="9.00390625" defaultRowHeight="12.75"/>
  <cols>
    <col min="1" max="1" width="3.25390625" style="1" customWidth="1"/>
    <col min="2" max="2" width="12.375" style="1" customWidth="1"/>
    <col min="3" max="3" width="32.125" style="1" customWidth="1"/>
    <col min="4" max="4" width="8.375" style="1" customWidth="1"/>
    <col min="5" max="5" width="9.00390625" style="1" customWidth="1"/>
    <col min="6" max="6" width="10.125" style="1" customWidth="1"/>
    <col min="7" max="7" width="7.625" style="1" customWidth="1"/>
    <col min="8" max="8" width="11.00390625" style="1" customWidth="1"/>
    <col min="9" max="9" width="8.375" style="1" customWidth="1"/>
    <col min="10" max="10" width="10.75390625" style="1" customWidth="1"/>
    <col min="11" max="11" width="8.625" style="1" customWidth="1"/>
    <col min="12" max="12" width="9.375" style="1" customWidth="1"/>
    <col min="13" max="13" width="11.875" style="1" customWidth="1"/>
    <col min="14" max="14" width="9.625" style="1" customWidth="1"/>
    <col min="15" max="15" width="12.75390625" style="50" customWidth="1"/>
    <col min="16" max="16" width="8.125" style="1" customWidth="1"/>
    <col min="17" max="17" width="8.75390625" style="1" customWidth="1"/>
    <col min="18" max="20" width="9.125" style="1" customWidth="1"/>
    <col min="21" max="21" width="9.75390625" style="1" customWidth="1"/>
    <col min="22" max="22" width="9.375" style="1" customWidth="1"/>
    <col min="23" max="23" width="9.625" style="1" customWidth="1"/>
    <col min="24" max="24" width="10.875" style="1" customWidth="1"/>
    <col min="25" max="25" width="10.00390625" style="1" customWidth="1"/>
    <col min="26" max="26" width="9.75390625" style="1" customWidth="1"/>
    <col min="27" max="27" width="12.25390625" style="1" customWidth="1"/>
    <col min="28" max="16384" width="9.125" style="1" customWidth="1"/>
  </cols>
  <sheetData>
    <row r="1" spans="1:125" ht="25.5" customHeight="1">
      <c r="A1" s="305" t="s">
        <v>74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82"/>
      <c r="O1" s="82"/>
      <c r="P1" s="82"/>
      <c r="Q1" s="83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</row>
    <row r="2" spans="1:125" ht="24" customHeight="1">
      <c r="A2" s="308" t="s">
        <v>59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</row>
    <row r="3" spans="1:125" ht="21.75" customHeight="1">
      <c r="A3" s="3"/>
      <c r="B3" s="311" t="s">
        <v>17</v>
      </c>
      <c r="C3" s="311"/>
      <c r="D3" s="312">
        <f>M49</f>
        <v>6258.181597320786</v>
      </c>
      <c r="E3" s="312"/>
      <c r="F3" s="60" t="s">
        <v>26</v>
      </c>
      <c r="G3" s="313" t="s">
        <v>19</v>
      </c>
      <c r="H3" s="313"/>
      <c r="I3" s="313"/>
      <c r="J3" s="4"/>
      <c r="K3" s="4"/>
      <c r="L3" s="4"/>
      <c r="M3" s="4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</row>
    <row r="4" spans="1:125" ht="20.25" customHeight="1">
      <c r="A4" s="3"/>
      <c r="B4" s="311" t="s">
        <v>20</v>
      </c>
      <c r="C4" s="311"/>
      <c r="D4" s="310">
        <f>M48</f>
        <v>954.637870777747</v>
      </c>
      <c r="E4" s="310"/>
      <c r="F4" s="60" t="s">
        <v>26</v>
      </c>
      <c r="G4" s="60"/>
      <c r="H4" s="61"/>
      <c r="I4" s="11"/>
      <c r="J4" s="4"/>
      <c r="K4" s="4"/>
      <c r="L4" s="4"/>
      <c r="M4" s="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</row>
    <row r="5" spans="1:125" ht="22.5" customHeight="1">
      <c r="A5" s="306" t="s">
        <v>70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</row>
    <row r="6" spans="1:125" ht="24" customHeight="1">
      <c r="A6" s="319" t="s">
        <v>0</v>
      </c>
      <c r="B6" s="318" t="s">
        <v>9</v>
      </c>
      <c r="C6" s="307" t="s">
        <v>1</v>
      </c>
      <c r="D6" s="318" t="s">
        <v>11</v>
      </c>
      <c r="E6" s="317" t="s">
        <v>2</v>
      </c>
      <c r="F6" s="317"/>
      <c r="G6" s="314" t="s">
        <v>33</v>
      </c>
      <c r="H6" s="315"/>
      <c r="I6" s="315"/>
      <c r="J6" s="315"/>
      <c r="K6" s="315"/>
      <c r="L6" s="315"/>
      <c r="M6" s="31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</row>
    <row r="7" spans="1:125" ht="17.25" customHeight="1">
      <c r="A7" s="319"/>
      <c r="B7" s="318"/>
      <c r="C7" s="307"/>
      <c r="D7" s="318"/>
      <c r="E7" s="318" t="s">
        <v>12</v>
      </c>
      <c r="F7" s="318" t="s">
        <v>10</v>
      </c>
      <c r="G7" s="307" t="s">
        <v>13</v>
      </c>
      <c r="H7" s="307"/>
      <c r="I7" s="307" t="s">
        <v>14</v>
      </c>
      <c r="J7" s="307"/>
      <c r="K7" s="307" t="s">
        <v>15</v>
      </c>
      <c r="L7" s="307"/>
      <c r="M7" s="307" t="s">
        <v>8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</row>
    <row r="8" spans="1:125" ht="12" customHeight="1">
      <c r="A8" s="319"/>
      <c r="B8" s="318"/>
      <c r="C8" s="307"/>
      <c r="D8" s="318"/>
      <c r="E8" s="318"/>
      <c r="F8" s="318"/>
      <c r="G8" s="307"/>
      <c r="H8" s="307"/>
      <c r="I8" s="307"/>
      <c r="J8" s="307"/>
      <c r="K8" s="307"/>
      <c r="L8" s="307"/>
      <c r="M8" s="307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</row>
    <row r="9" spans="1:125" ht="20.25" customHeight="1">
      <c r="A9" s="319"/>
      <c r="B9" s="318"/>
      <c r="C9" s="307"/>
      <c r="D9" s="318"/>
      <c r="E9" s="318"/>
      <c r="F9" s="318"/>
      <c r="G9" s="307" t="s">
        <v>18</v>
      </c>
      <c r="H9" s="307" t="s">
        <v>3</v>
      </c>
      <c r="I9" s="307" t="s">
        <v>18</v>
      </c>
      <c r="J9" s="307" t="s">
        <v>3</v>
      </c>
      <c r="K9" s="307" t="s">
        <v>18</v>
      </c>
      <c r="L9" s="307" t="s">
        <v>3</v>
      </c>
      <c r="M9" s="307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</row>
    <row r="10" spans="1:125" ht="42.75" customHeight="1">
      <c r="A10" s="319"/>
      <c r="B10" s="318"/>
      <c r="C10" s="307"/>
      <c r="D10" s="318"/>
      <c r="E10" s="318"/>
      <c r="F10" s="318"/>
      <c r="G10" s="307"/>
      <c r="H10" s="307"/>
      <c r="I10" s="307"/>
      <c r="J10" s="307"/>
      <c r="K10" s="307"/>
      <c r="L10" s="307"/>
      <c r="M10" s="307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</row>
    <row r="11" spans="1:125" ht="20.2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</row>
    <row r="12" spans="1:125" ht="72" customHeight="1">
      <c r="A12" s="35">
        <v>1</v>
      </c>
      <c r="B12" s="20" t="s">
        <v>37</v>
      </c>
      <c r="C12" s="34" t="s">
        <v>39</v>
      </c>
      <c r="D12" s="32" t="s">
        <v>16</v>
      </c>
      <c r="E12" s="32" t="s">
        <v>4</v>
      </c>
      <c r="F12" s="32">
        <v>6</v>
      </c>
      <c r="G12" s="32"/>
      <c r="H12" s="53"/>
      <c r="I12" s="54"/>
      <c r="J12" s="53"/>
      <c r="K12" s="42"/>
      <c r="L12" s="53"/>
      <c r="M12" s="43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</row>
    <row r="13" spans="1:125" ht="27" customHeight="1">
      <c r="A13" s="14"/>
      <c r="B13" s="12" t="s">
        <v>38</v>
      </c>
      <c r="C13" s="29" t="s">
        <v>31</v>
      </c>
      <c r="D13" s="20" t="s">
        <v>30</v>
      </c>
      <c r="E13" s="13">
        <v>0.985</v>
      </c>
      <c r="F13" s="12">
        <f>E13*F12</f>
        <v>5.91</v>
      </c>
      <c r="G13" s="12">
        <v>4.6</v>
      </c>
      <c r="H13" s="44">
        <f>G13*F13</f>
        <v>27.186</v>
      </c>
      <c r="I13" s="44" t="s">
        <v>4</v>
      </c>
      <c r="J13" s="90" t="s">
        <v>4</v>
      </c>
      <c r="K13" s="91" t="s">
        <v>4</v>
      </c>
      <c r="L13" s="48" t="s">
        <v>4</v>
      </c>
      <c r="M13" s="44">
        <f>H13</f>
        <v>27.186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</row>
    <row r="14" spans="1:125" ht="25.5" customHeight="1">
      <c r="A14" s="18"/>
      <c r="B14" s="19"/>
      <c r="C14" s="17" t="s">
        <v>41</v>
      </c>
      <c r="D14" s="19" t="s">
        <v>29</v>
      </c>
      <c r="E14" s="19">
        <v>0.314</v>
      </c>
      <c r="F14" s="27">
        <f>E14*F12</f>
        <v>1.884</v>
      </c>
      <c r="G14" s="19" t="s">
        <v>4</v>
      </c>
      <c r="H14" s="49" t="s">
        <v>4</v>
      </c>
      <c r="I14" s="51" t="s">
        <v>4</v>
      </c>
      <c r="J14" s="51" t="s">
        <v>4</v>
      </c>
      <c r="K14" s="47">
        <v>25.18</v>
      </c>
      <c r="L14" s="49">
        <f>K14*F14</f>
        <v>47.439119999999996</v>
      </c>
      <c r="M14" s="49">
        <f>L14</f>
        <v>47.439119999999996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</row>
    <row r="15" spans="1:125" ht="36.75" customHeight="1">
      <c r="A15" s="35">
        <v>2</v>
      </c>
      <c r="B15" s="75" t="s">
        <v>45</v>
      </c>
      <c r="C15" s="34" t="s">
        <v>43</v>
      </c>
      <c r="D15" s="32" t="s">
        <v>24</v>
      </c>
      <c r="E15" s="32" t="s">
        <v>4</v>
      </c>
      <c r="F15" s="32">
        <v>1.32</v>
      </c>
      <c r="G15" s="74"/>
      <c r="H15" s="53"/>
      <c r="I15" s="41"/>
      <c r="J15" s="55"/>
      <c r="K15" s="55"/>
      <c r="L15" s="55"/>
      <c r="M15" s="43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</row>
    <row r="16" spans="1:125" ht="26.25" customHeight="1">
      <c r="A16" s="14"/>
      <c r="B16" s="14"/>
      <c r="C16" s="29" t="s">
        <v>31</v>
      </c>
      <c r="D16" s="12" t="s">
        <v>30</v>
      </c>
      <c r="E16" s="12">
        <v>4.3</v>
      </c>
      <c r="F16" s="16">
        <f>E16*F15</f>
        <v>5.676</v>
      </c>
      <c r="G16" s="12">
        <v>4.6</v>
      </c>
      <c r="H16" s="44">
        <f>G16*F16</f>
        <v>26.1096</v>
      </c>
      <c r="I16" s="9" t="s">
        <v>4</v>
      </c>
      <c r="J16" s="9" t="s">
        <v>4</v>
      </c>
      <c r="K16" s="9" t="s">
        <v>4</v>
      </c>
      <c r="L16" s="9" t="s">
        <v>4</v>
      </c>
      <c r="M16" s="7">
        <f>H16</f>
        <v>26.1096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</row>
    <row r="17" spans="1:125" ht="27.75" customHeight="1">
      <c r="A17" s="14"/>
      <c r="B17" s="59"/>
      <c r="C17" s="29" t="s">
        <v>42</v>
      </c>
      <c r="D17" s="12" t="s">
        <v>29</v>
      </c>
      <c r="E17" s="13">
        <v>1.8</v>
      </c>
      <c r="F17" s="26">
        <f>F15*E17</f>
        <v>2.3760000000000003</v>
      </c>
      <c r="G17" s="12" t="s">
        <v>4</v>
      </c>
      <c r="H17" s="44" t="s">
        <v>4</v>
      </c>
      <c r="I17" s="44" t="s">
        <v>4</v>
      </c>
      <c r="J17" s="48" t="s">
        <v>4</v>
      </c>
      <c r="K17" s="45">
        <v>3.2</v>
      </c>
      <c r="L17" s="44">
        <f>F17*K17</f>
        <v>7.603200000000001</v>
      </c>
      <c r="M17" s="44">
        <f>L17</f>
        <v>7.603200000000001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</row>
    <row r="18" spans="1:125" ht="39" customHeight="1">
      <c r="A18" s="18"/>
      <c r="B18" s="18"/>
      <c r="C18" s="17" t="s">
        <v>44</v>
      </c>
      <c r="D18" s="19" t="s">
        <v>63</v>
      </c>
      <c r="E18" s="24">
        <v>1.02</v>
      </c>
      <c r="F18" s="27">
        <f>F15*E18</f>
        <v>1.3464</v>
      </c>
      <c r="G18" s="19" t="s">
        <v>4</v>
      </c>
      <c r="H18" s="49" t="s">
        <v>4</v>
      </c>
      <c r="I18" s="86">
        <v>123</v>
      </c>
      <c r="J18" s="51">
        <f>F18*I18</f>
        <v>165.6072</v>
      </c>
      <c r="K18" s="19" t="s">
        <v>4</v>
      </c>
      <c r="L18" s="49" t="s">
        <v>4</v>
      </c>
      <c r="M18" s="49">
        <f>J18</f>
        <v>165.6072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</row>
    <row r="19" spans="1:125" ht="56.25" customHeight="1">
      <c r="A19" s="35">
        <v>3</v>
      </c>
      <c r="B19" s="35" t="s">
        <v>28</v>
      </c>
      <c r="C19" s="34" t="s">
        <v>75</v>
      </c>
      <c r="D19" s="32" t="s">
        <v>16</v>
      </c>
      <c r="E19" s="32" t="s">
        <v>4</v>
      </c>
      <c r="F19" s="32">
        <v>6</v>
      </c>
      <c r="G19" s="32"/>
      <c r="H19" s="53"/>
      <c r="I19" s="41"/>
      <c r="J19" s="55"/>
      <c r="K19" s="42"/>
      <c r="L19" s="53"/>
      <c r="M19" s="43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</row>
    <row r="20" spans="1:125" ht="27" customHeight="1">
      <c r="A20" s="14"/>
      <c r="B20" s="14"/>
      <c r="C20" s="29" t="s">
        <v>31</v>
      </c>
      <c r="D20" s="12" t="s">
        <v>30</v>
      </c>
      <c r="E20" s="12">
        <v>4.48</v>
      </c>
      <c r="F20" s="26">
        <f>F19*E20</f>
        <v>26.880000000000003</v>
      </c>
      <c r="G20" s="26">
        <v>4.6</v>
      </c>
      <c r="H20" s="44">
        <f>G20*F20</f>
        <v>123.648</v>
      </c>
      <c r="I20" s="7" t="s">
        <v>4</v>
      </c>
      <c r="J20" s="7" t="s">
        <v>4</v>
      </c>
      <c r="K20" s="6" t="s">
        <v>4</v>
      </c>
      <c r="L20" s="7" t="s">
        <v>4</v>
      </c>
      <c r="M20" s="7">
        <f>H20</f>
        <v>123.648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</row>
    <row r="21" spans="1:125" ht="25.5" customHeight="1">
      <c r="A21" s="14"/>
      <c r="B21" s="14"/>
      <c r="C21" s="29" t="s">
        <v>40</v>
      </c>
      <c r="D21" s="12" t="s">
        <v>29</v>
      </c>
      <c r="E21" s="12">
        <v>0.903</v>
      </c>
      <c r="F21" s="26">
        <f>F19*E21</f>
        <v>5.418</v>
      </c>
      <c r="G21" s="26" t="s">
        <v>4</v>
      </c>
      <c r="H21" s="44" t="s">
        <v>4</v>
      </c>
      <c r="I21" s="44" t="s">
        <v>4</v>
      </c>
      <c r="J21" s="44" t="s">
        <v>4</v>
      </c>
      <c r="K21" s="45">
        <v>38</v>
      </c>
      <c r="L21" s="44">
        <f>K21*F21</f>
        <v>205.88400000000001</v>
      </c>
      <c r="M21" s="44">
        <f>L21</f>
        <v>205.88400000000001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</row>
    <row r="22" spans="1:125" ht="26.25" customHeight="1">
      <c r="A22" s="14"/>
      <c r="B22" s="12" t="s">
        <v>46</v>
      </c>
      <c r="C22" s="29" t="s">
        <v>64</v>
      </c>
      <c r="D22" s="12" t="s">
        <v>34</v>
      </c>
      <c r="E22" s="13">
        <v>10</v>
      </c>
      <c r="F22" s="26">
        <f>F19*E22</f>
        <v>60</v>
      </c>
      <c r="G22" s="26" t="s">
        <v>4</v>
      </c>
      <c r="H22" s="7" t="s">
        <v>4</v>
      </c>
      <c r="I22" s="44">
        <v>23.7</v>
      </c>
      <c r="J22" s="44">
        <f>F22*I22</f>
        <v>1422</v>
      </c>
      <c r="K22" s="45"/>
      <c r="L22" s="44"/>
      <c r="M22" s="44">
        <f>J22</f>
        <v>1422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</row>
    <row r="23" spans="1:125" ht="26.25" customHeight="1">
      <c r="A23" s="14"/>
      <c r="B23" s="12" t="s">
        <v>47</v>
      </c>
      <c r="C23" s="29" t="s">
        <v>65</v>
      </c>
      <c r="D23" s="12" t="s">
        <v>34</v>
      </c>
      <c r="E23" s="12">
        <v>1.6</v>
      </c>
      <c r="F23" s="26">
        <f>F19*E23</f>
        <v>9.600000000000001</v>
      </c>
      <c r="G23" s="26" t="s">
        <v>4</v>
      </c>
      <c r="H23" s="7" t="s">
        <v>4</v>
      </c>
      <c r="I23" s="44">
        <v>7.3</v>
      </c>
      <c r="J23" s="44">
        <f>F23*I23</f>
        <v>70.08000000000001</v>
      </c>
      <c r="K23" s="45"/>
      <c r="L23" s="44"/>
      <c r="M23" s="44">
        <f>J23</f>
        <v>70.08000000000001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</row>
    <row r="24" spans="1:125" ht="55.5" customHeight="1">
      <c r="A24" s="35">
        <v>4</v>
      </c>
      <c r="B24" s="31" t="s">
        <v>27</v>
      </c>
      <c r="C24" s="34" t="s">
        <v>49</v>
      </c>
      <c r="D24" s="32" t="s">
        <v>66</v>
      </c>
      <c r="E24" s="32" t="s">
        <v>4</v>
      </c>
      <c r="F24" s="32">
        <v>23</v>
      </c>
      <c r="G24" s="32"/>
      <c r="H24" s="52"/>
      <c r="I24" s="42"/>
      <c r="J24" s="55"/>
      <c r="K24" s="56"/>
      <c r="L24" s="55"/>
      <c r="M24" s="33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</row>
    <row r="25" spans="1:125" ht="26.25" customHeight="1">
      <c r="A25" s="14"/>
      <c r="B25" s="12" t="s">
        <v>50</v>
      </c>
      <c r="C25" s="29" t="s">
        <v>31</v>
      </c>
      <c r="D25" s="12" t="s">
        <v>30</v>
      </c>
      <c r="E25" s="12">
        <v>0.582</v>
      </c>
      <c r="F25" s="16">
        <f>F24*E25</f>
        <v>13.386</v>
      </c>
      <c r="G25" s="12">
        <v>4.6</v>
      </c>
      <c r="H25" s="16">
        <f>G25*F25</f>
        <v>61.575599999999994</v>
      </c>
      <c r="I25" s="45" t="s">
        <v>4</v>
      </c>
      <c r="J25" s="45" t="s">
        <v>4</v>
      </c>
      <c r="K25" s="45" t="s">
        <v>4</v>
      </c>
      <c r="L25" s="45" t="s">
        <v>4</v>
      </c>
      <c r="M25" s="16">
        <f>H25</f>
        <v>61.575599999999994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</row>
    <row r="26" spans="1:125" ht="24" customHeight="1">
      <c r="A26" s="68"/>
      <c r="B26" s="68"/>
      <c r="C26" s="87" t="s">
        <v>51</v>
      </c>
      <c r="D26" s="63" t="s">
        <v>5</v>
      </c>
      <c r="E26" s="76">
        <v>0.3</v>
      </c>
      <c r="F26" s="76">
        <f>F24*E26</f>
        <v>6.8999999999999995</v>
      </c>
      <c r="G26" s="88" t="s">
        <v>4</v>
      </c>
      <c r="H26" s="88" t="s">
        <v>4</v>
      </c>
      <c r="I26" s="63">
        <v>6.9</v>
      </c>
      <c r="J26" s="69">
        <f>I26*F26</f>
        <v>47.61</v>
      </c>
      <c r="K26" s="64" t="s">
        <v>4</v>
      </c>
      <c r="L26" s="64" t="s">
        <v>4</v>
      </c>
      <c r="M26" s="69">
        <f>J26</f>
        <v>47.61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</row>
    <row r="27" spans="1:125" ht="39" customHeight="1">
      <c r="A27" s="35">
        <v>5</v>
      </c>
      <c r="B27" s="21" t="s">
        <v>48</v>
      </c>
      <c r="C27" s="34" t="s">
        <v>52</v>
      </c>
      <c r="D27" s="74" t="s">
        <v>34</v>
      </c>
      <c r="E27" s="42" t="s">
        <v>4</v>
      </c>
      <c r="F27" s="32">
        <v>200</v>
      </c>
      <c r="G27" s="65"/>
      <c r="H27" s="30"/>
      <c r="I27" s="65"/>
      <c r="J27" s="80"/>
      <c r="K27" s="65"/>
      <c r="L27" s="65"/>
      <c r="M27" s="80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</row>
    <row r="28" spans="1:125" ht="27" customHeight="1">
      <c r="A28" s="14"/>
      <c r="B28" s="12" t="s">
        <v>53</v>
      </c>
      <c r="C28" s="29" t="s">
        <v>31</v>
      </c>
      <c r="D28" s="12" t="s">
        <v>30</v>
      </c>
      <c r="E28" s="12">
        <v>0.2</v>
      </c>
      <c r="F28" s="16">
        <f>F27*E28</f>
        <v>40</v>
      </c>
      <c r="G28" s="12">
        <v>4.6</v>
      </c>
      <c r="H28" s="16">
        <f>G28*F28</f>
        <v>184</v>
      </c>
      <c r="I28" s="45" t="s">
        <v>4</v>
      </c>
      <c r="J28" s="45" t="s">
        <v>4</v>
      </c>
      <c r="K28" s="45" t="s">
        <v>4</v>
      </c>
      <c r="L28" s="45" t="s">
        <v>4</v>
      </c>
      <c r="M28" s="16">
        <f>H28</f>
        <v>184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</row>
    <row r="29" spans="1:125" ht="24.75" customHeight="1">
      <c r="A29" s="14"/>
      <c r="B29" s="12" t="s">
        <v>67</v>
      </c>
      <c r="C29" s="29" t="s">
        <v>40</v>
      </c>
      <c r="D29" s="12" t="s">
        <v>29</v>
      </c>
      <c r="E29" s="12">
        <v>0.053</v>
      </c>
      <c r="F29" s="26">
        <f>F27*E29</f>
        <v>10.6</v>
      </c>
      <c r="G29" s="26" t="s">
        <v>4</v>
      </c>
      <c r="H29" s="44" t="s">
        <v>4</v>
      </c>
      <c r="I29" s="44" t="s">
        <v>4</v>
      </c>
      <c r="J29" s="44" t="s">
        <v>4</v>
      </c>
      <c r="K29" s="45">
        <v>13.71</v>
      </c>
      <c r="L29" s="44">
        <f>K29*F29</f>
        <v>145.326</v>
      </c>
      <c r="M29" s="44">
        <f>L29</f>
        <v>145.326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</row>
    <row r="30" spans="1:125" ht="35.25" customHeight="1">
      <c r="A30" s="14"/>
      <c r="B30" s="12"/>
      <c r="C30" s="89" t="s">
        <v>61</v>
      </c>
      <c r="D30" s="12" t="s">
        <v>34</v>
      </c>
      <c r="E30" s="45" t="s">
        <v>4</v>
      </c>
      <c r="F30" s="13">
        <v>185</v>
      </c>
      <c r="G30" s="45" t="s">
        <v>4</v>
      </c>
      <c r="H30" s="45" t="s">
        <v>4</v>
      </c>
      <c r="I30" s="12">
        <v>1.9</v>
      </c>
      <c r="J30" s="16">
        <f>F30*I30</f>
        <v>351.5</v>
      </c>
      <c r="K30" s="45" t="s">
        <v>4</v>
      </c>
      <c r="L30" s="45" t="s">
        <v>4</v>
      </c>
      <c r="M30" s="16">
        <f>J30</f>
        <v>351.5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</row>
    <row r="31" spans="1:125" ht="32.25" customHeight="1">
      <c r="A31" s="14"/>
      <c r="B31" s="12"/>
      <c r="C31" s="89" t="s">
        <v>62</v>
      </c>
      <c r="D31" s="12" t="s">
        <v>34</v>
      </c>
      <c r="E31" s="45" t="s">
        <v>4</v>
      </c>
      <c r="F31" s="13">
        <v>15</v>
      </c>
      <c r="G31" s="45" t="s">
        <v>4</v>
      </c>
      <c r="H31" s="45" t="s">
        <v>4</v>
      </c>
      <c r="I31" s="12">
        <v>0.59</v>
      </c>
      <c r="J31" s="16">
        <f>F31*I31</f>
        <v>8.85</v>
      </c>
      <c r="K31" s="45" t="s">
        <v>4</v>
      </c>
      <c r="L31" s="45" t="s">
        <v>4</v>
      </c>
      <c r="M31" s="16">
        <f>J31</f>
        <v>8.85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</row>
    <row r="32" spans="1:125" ht="24" customHeight="1">
      <c r="A32" s="14"/>
      <c r="B32" s="12"/>
      <c r="C32" s="29" t="s">
        <v>54</v>
      </c>
      <c r="D32" s="12" t="s">
        <v>16</v>
      </c>
      <c r="E32" s="45" t="s">
        <v>4</v>
      </c>
      <c r="F32" s="13">
        <v>16</v>
      </c>
      <c r="G32" s="45" t="s">
        <v>4</v>
      </c>
      <c r="H32" s="45" t="s">
        <v>4</v>
      </c>
      <c r="I32" s="12">
        <v>5.8</v>
      </c>
      <c r="J32" s="16">
        <f>F32*I32</f>
        <v>92.8</v>
      </c>
      <c r="K32" s="45" t="s">
        <v>4</v>
      </c>
      <c r="L32" s="45" t="s">
        <v>4</v>
      </c>
      <c r="M32" s="16">
        <f>J32</f>
        <v>92.8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</row>
    <row r="33" spans="1:125" ht="31.5" customHeight="1">
      <c r="A33" s="14"/>
      <c r="B33" s="12"/>
      <c r="C33" s="29" t="s">
        <v>55</v>
      </c>
      <c r="D33" s="12" t="s">
        <v>16</v>
      </c>
      <c r="E33" s="45" t="s">
        <v>4</v>
      </c>
      <c r="F33" s="13">
        <v>6</v>
      </c>
      <c r="G33" s="45" t="s">
        <v>4</v>
      </c>
      <c r="H33" s="45" t="s">
        <v>4</v>
      </c>
      <c r="I33" s="12">
        <v>8.1</v>
      </c>
      <c r="J33" s="16">
        <f>F33*I33</f>
        <v>48.599999999999994</v>
      </c>
      <c r="K33" s="45" t="s">
        <v>4</v>
      </c>
      <c r="L33" s="45" t="s">
        <v>4</v>
      </c>
      <c r="M33" s="16">
        <f>J33</f>
        <v>48.599999999999994</v>
      </c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</row>
    <row r="34" spans="1:125" ht="27" customHeight="1">
      <c r="A34" s="68"/>
      <c r="B34" s="63"/>
      <c r="C34" s="62" t="s">
        <v>56</v>
      </c>
      <c r="D34" s="63" t="s">
        <v>16</v>
      </c>
      <c r="E34" s="64" t="s">
        <v>4</v>
      </c>
      <c r="F34" s="76">
        <v>2</v>
      </c>
      <c r="G34" s="64" t="s">
        <v>4</v>
      </c>
      <c r="H34" s="64" t="s">
        <v>4</v>
      </c>
      <c r="I34" s="63">
        <v>5.8</v>
      </c>
      <c r="J34" s="69">
        <f>F34*I34</f>
        <v>11.6</v>
      </c>
      <c r="K34" s="64" t="s">
        <v>4</v>
      </c>
      <c r="L34" s="64" t="s">
        <v>4</v>
      </c>
      <c r="M34" s="69">
        <f>J34</f>
        <v>11.6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</row>
    <row r="35" spans="1:125" ht="35.25" customHeight="1">
      <c r="A35" s="35">
        <v>6</v>
      </c>
      <c r="B35" s="21" t="s">
        <v>57</v>
      </c>
      <c r="C35" s="34" t="s">
        <v>69</v>
      </c>
      <c r="D35" s="74" t="s">
        <v>16</v>
      </c>
      <c r="E35" s="42" t="s">
        <v>4</v>
      </c>
      <c r="F35" s="74">
        <v>6</v>
      </c>
      <c r="G35" s="79"/>
      <c r="H35" s="30"/>
      <c r="I35" s="78"/>
      <c r="J35" s="80"/>
      <c r="K35" s="77"/>
      <c r="L35" s="81"/>
      <c r="M35" s="80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</row>
    <row r="36" spans="1:126" ht="25.5" customHeight="1">
      <c r="A36" s="14"/>
      <c r="B36" s="12" t="s">
        <v>32</v>
      </c>
      <c r="C36" s="25" t="s">
        <v>31</v>
      </c>
      <c r="D36" s="20" t="s">
        <v>30</v>
      </c>
      <c r="E36" s="20">
        <v>2.06</v>
      </c>
      <c r="F36" s="36">
        <f>F35*E36</f>
        <v>12.36</v>
      </c>
      <c r="G36" s="20">
        <v>4.6</v>
      </c>
      <c r="H36" s="36">
        <f>G36*F36</f>
        <v>56.855999999999995</v>
      </c>
      <c r="I36" s="46" t="s">
        <v>4</v>
      </c>
      <c r="J36" s="46" t="s">
        <v>4</v>
      </c>
      <c r="K36" s="46" t="s">
        <v>4</v>
      </c>
      <c r="L36" s="46" t="s">
        <v>4</v>
      </c>
      <c r="M36" s="36">
        <f>H36</f>
        <v>56.855999999999995</v>
      </c>
      <c r="N36"/>
      <c r="O36" s="28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</row>
    <row r="37" spans="1:126" ht="25.5" customHeight="1">
      <c r="A37" s="14"/>
      <c r="B37" s="23"/>
      <c r="C37" s="22" t="s">
        <v>40</v>
      </c>
      <c r="D37" s="23" t="s">
        <v>29</v>
      </c>
      <c r="E37" s="23">
        <v>0.62</v>
      </c>
      <c r="F37" s="94">
        <f>E37*F35</f>
        <v>3.7199999999999998</v>
      </c>
      <c r="G37" s="23"/>
      <c r="H37" s="94"/>
      <c r="I37" s="95"/>
      <c r="J37" s="95"/>
      <c r="K37" s="95">
        <v>13.71</v>
      </c>
      <c r="L37" s="95">
        <f>F37*K37</f>
        <v>51.0012</v>
      </c>
      <c r="M37" s="16">
        <f>L37</f>
        <v>51.0012</v>
      </c>
      <c r="N37"/>
      <c r="O37" s="28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</row>
    <row r="38" spans="1:126" ht="21" customHeight="1" thickBot="1">
      <c r="A38" s="92"/>
      <c r="B38" s="37"/>
      <c r="C38" s="38" t="s">
        <v>71</v>
      </c>
      <c r="D38" s="37" t="s">
        <v>16</v>
      </c>
      <c r="E38" s="37"/>
      <c r="F38" s="37">
        <v>6</v>
      </c>
      <c r="G38" s="93" t="s">
        <v>4</v>
      </c>
      <c r="H38" s="93" t="s">
        <v>4</v>
      </c>
      <c r="I38" s="39">
        <v>180</v>
      </c>
      <c r="J38" s="40">
        <f>F38*I38</f>
        <v>1080</v>
      </c>
      <c r="K38" s="96" t="s">
        <v>4</v>
      </c>
      <c r="L38" s="96" t="s">
        <v>4</v>
      </c>
      <c r="M38" s="40">
        <f>J38</f>
        <v>1080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</row>
    <row r="39" spans="1:126" ht="22.5" customHeight="1">
      <c r="A39" s="8"/>
      <c r="B39" s="8"/>
      <c r="C39" s="73" t="s">
        <v>58</v>
      </c>
      <c r="D39" s="47"/>
      <c r="E39" s="47"/>
      <c r="F39" s="47"/>
      <c r="G39" s="72"/>
      <c r="H39" s="72">
        <f>SUM(H13:H38)</f>
        <v>479.3752</v>
      </c>
      <c r="I39" s="72"/>
      <c r="J39" s="72">
        <f>SUM(J12:J38)</f>
        <v>3298.6472</v>
      </c>
      <c r="K39" s="72"/>
      <c r="L39" s="72">
        <f>SUM(L12:L38)</f>
        <v>457.25352000000004</v>
      </c>
      <c r="M39" s="72">
        <f>SUM(M12:M38)</f>
        <v>4235.27592</v>
      </c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</row>
    <row r="40" spans="1:126" ht="22.5" customHeight="1">
      <c r="A40" s="10"/>
      <c r="B40" s="10"/>
      <c r="C40" s="302" t="s">
        <v>68</v>
      </c>
      <c r="D40" s="304"/>
      <c r="E40" s="304"/>
      <c r="F40" s="304"/>
      <c r="G40" s="303"/>
      <c r="H40" s="67"/>
      <c r="I40" s="67"/>
      <c r="J40" s="67">
        <f>J39*3%</f>
        <v>98.95941599999999</v>
      </c>
      <c r="K40" s="67"/>
      <c r="L40" s="67"/>
      <c r="M40" s="67">
        <f>J40</f>
        <v>98.95941599999999</v>
      </c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</row>
    <row r="41" spans="1:126" ht="20.25" customHeight="1">
      <c r="A41" s="10"/>
      <c r="B41" s="10"/>
      <c r="C41" s="56" t="s">
        <v>7</v>
      </c>
      <c r="D41" s="42"/>
      <c r="E41" s="42"/>
      <c r="F41" s="42"/>
      <c r="G41" s="42"/>
      <c r="H41" s="58"/>
      <c r="I41" s="58"/>
      <c r="J41" s="58"/>
      <c r="K41" s="58"/>
      <c r="L41" s="58"/>
      <c r="M41" s="67">
        <f>M39+M40</f>
        <v>4334.235336</v>
      </c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</row>
    <row r="42" spans="1:126" ht="21.75" customHeight="1">
      <c r="A42" s="10"/>
      <c r="B42" s="10"/>
      <c r="C42" s="302" t="s">
        <v>35</v>
      </c>
      <c r="D42" s="303"/>
      <c r="E42" s="71"/>
      <c r="F42" s="71"/>
      <c r="G42" s="70"/>
      <c r="H42" s="58"/>
      <c r="I42" s="58"/>
      <c r="J42" s="58"/>
      <c r="K42" s="58"/>
      <c r="L42" s="58"/>
      <c r="M42" s="67">
        <f>M41*10%</f>
        <v>433.4235336</v>
      </c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</row>
    <row r="43" spans="1:126" ht="19.5" customHeight="1">
      <c r="A43" s="10"/>
      <c r="B43" s="10"/>
      <c r="C43" s="56" t="s">
        <v>7</v>
      </c>
      <c r="D43" s="42"/>
      <c r="E43" s="42"/>
      <c r="F43" s="42"/>
      <c r="G43" s="42"/>
      <c r="H43" s="58"/>
      <c r="I43" s="58"/>
      <c r="J43" s="58"/>
      <c r="K43" s="58"/>
      <c r="L43" s="58"/>
      <c r="M43" s="67">
        <f>M41+M42</f>
        <v>4767.6588696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</row>
    <row r="44" spans="1:126" ht="23.25" customHeight="1">
      <c r="A44" s="10"/>
      <c r="B44" s="10"/>
      <c r="C44" s="302" t="s">
        <v>36</v>
      </c>
      <c r="D44" s="303"/>
      <c r="E44" s="71"/>
      <c r="F44" s="71"/>
      <c r="G44" s="71"/>
      <c r="H44" s="58"/>
      <c r="I44" s="58"/>
      <c r="J44" s="58"/>
      <c r="K44" s="58"/>
      <c r="L44" s="58"/>
      <c r="M44" s="67">
        <f>M43*8%</f>
        <v>381.412709568</v>
      </c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</row>
    <row r="45" spans="1:126" ht="18.75" customHeight="1">
      <c r="A45" s="10"/>
      <c r="B45" s="10"/>
      <c r="C45" s="56" t="s">
        <v>7</v>
      </c>
      <c r="D45" s="42"/>
      <c r="E45" s="42"/>
      <c r="F45" s="42"/>
      <c r="G45" s="42"/>
      <c r="H45" s="58"/>
      <c r="I45" s="58"/>
      <c r="J45" s="58"/>
      <c r="K45" s="58"/>
      <c r="L45" s="58"/>
      <c r="M45" s="67">
        <f>M43+M44</f>
        <v>5149.0715791679995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</row>
    <row r="46" spans="1:126" ht="19.5" customHeight="1">
      <c r="A46" s="10"/>
      <c r="B46" s="10"/>
      <c r="C46" s="302" t="s">
        <v>60</v>
      </c>
      <c r="D46" s="304"/>
      <c r="E46" s="303"/>
      <c r="F46" s="71"/>
      <c r="G46" s="70"/>
      <c r="H46" s="58"/>
      <c r="I46" s="58"/>
      <c r="J46" s="58"/>
      <c r="K46" s="58"/>
      <c r="L46" s="58"/>
      <c r="M46" s="67">
        <f>M45*3%</f>
        <v>154.47214737503998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</row>
    <row r="47" spans="1:126" ht="20.25" customHeight="1">
      <c r="A47" s="10"/>
      <c r="B47" s="10"/>
      <c r="C47" s="302" t="s">
        <v>7</v>
      </c>
      <c r="D47" s="303"/>
      <c r="E47" s="42"/>
      <c r="F47" s="42"/>
      <c r="G47" s="42"/>
      <c r="H47" s="58"/>
      <c r="I47" s="58"/>
      <c r="J47" s="58"/>
      <c r="K47" s="58"/>
      <c r="L47" s="58"/>
      <c r="M47" s="67">
        <f>M45+M46</f>
        <v>5303.543726543039</v>
      </c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</row>
    <row r="48" spans="1:126" ht="20.25" customHeight="1">
      <c r="A48" s="10"/>
      <c r="B48" s="10"/>
      <c r="C48" s="56" t="s">
        <v>21</v>
      </c>
      <c r="D48" s="71"/>
      <c r="E48" s="71"/>
      <c r="F48" s="71"/>
      <c r="G48" s="70"/>
      <c r="H48" s="58"/>
      <c r="I48" s="58"/>
      <c r="J48" s="58"/>
      <c r="K48" s="58"/>
      <c r="L48" s="58"/>
      <c r="M48" s="67">
        <f>M47*18%</f>
        <v>954.637870777747</v>
      </c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</row>
    <row r="49" spans="1:126" ht="19.5" customHeight="1">
      <c r="A49" s="57"/>
      <c r="B49" s="57"/>
      <c r="C49" s="302" t="s">
        <v>22</v>
      </c>
      <c r="D49" s="303"/>
      <c r="E49" s="42"/>
      <c r="F49" s="42"/>
      <c r="G49" s="42"/>
      <c r="H49" s="58"/>
      <c r="I49" s="58"/>
      <c r="J49" s="58"/>
      <c r="K49" s="58"/>
      <c r="L49" s="58"/>
      <c r="M49" s="66">
        <f>M47+M48</f>
        <v>6258.181597320786</v>
      </c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</row>
    <row r="50" spans="1:126" ht="21">
      <c r="A50" s="301"/>
      <c r="B50" s="301"/>
      <c r="C50" s="301"/>
      <c r="D50" s="301"/>
      <c r="E50" s="301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</row>
    <row r="51" spans="1:126" ht="21">
      <c r="A51" s="301" t="s">
        <v>72</v>
      </c>
      <c r="B51" s="301"/>
      <c r="C51" s="301"/>
      <c r="D51" s="301"/>
      <c r="E51" s="30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</row>
    <row r="52" spans="1:126" ht="21">
      <c r="A52" s="85"/>
      <c r="B52" s="301" t="s">
        <v>73</v>
      </c>
      <c r="C52" s="301"/>
      <c r="D52" s="301"/>
      <c r="E52" s="85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</row>
    <row r="53" spans="1:126" ht="21">
      <c r="A53" s="84"/>
      <c r="B53" s="84"/>
      <c r="C53" s="84"/>
      <c r="D53" s="84"/>
      <c r="E53" s="84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</row>
    <row r="54" spans="14:126" ht="13.5"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</row>
    <row r="55" spans="14:126" ht="13.5"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</row>
    <row r="56" spans="14:126" ht="13.5"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</row>
    <row r="57" spans="14:126" ht="13.5"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</row>
    <row r="58" spans="14:126" ht="13.5"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</row>
    <row r="59" spans="14:126" ht="13.5"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</row>
    <row r="60" spans="14:126" ht="13.5"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</row>
    <row r="61" spans="14:126" ht="13.5"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</row>
    <row r="62" spans="14:126" ht="13.5"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</row>
    <row r="63" spans="14:126" ht="13.5"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</row>
    <row r="64" spans="14:126" ht="13.5"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</row>
    <row r="65" spans="14:126" ht="13.5"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</row>
    <row r="66" spans="14:126" ht="13.5"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</row>
    <row r="67" spans="14:126" ht="13.5"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</row>
    <row r="68" spans="14:126" ht="13.5"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</row>
    <row r="69" spans="14:126" ht="13.5"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</row>
    <row r="70" spans="14:126" ht="13.5"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</row>
    <row r="71" spans="14:126" ht="13.5"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</row>
    <row r="72" spans="14:126" ht="13.5"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</row>
    <row r="73" spans="14:126" ht="13.5"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</row>
    <row r="74" spans="14:126" ht="13.5"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</row>
    <row r="75" spans="14:126" ht="13.5"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</row>
    <row r="76" spans="14:126" ht="13.5"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</row>
    <row r="77" spans="14:126" ht="13.5"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</row>
    <row r="78" spans="14:126" ht="13.5"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</row>
    <row r="79" spans="14:126" ht="13.5"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</row>
    <row r="80" spans="14:126" ht="13.5"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</row>
    <row r="81" spans="14:126" ht="13.5"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</row>
    <row r="82" spans="14:126" ht="13.5"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</row>
    <row r="83" spans="14:126" ht="13.5"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</row>
    <row r="84" spans="14:126" ht="13.5"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</row>
    <row r="85" spans="14:126" ht="13.5"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</row>
    <row r="86" spans="14:126" ht="13.5"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</row>
    <row r="87" spans="14:126" ht="13.5"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</row>
    <row r="88" spans="14:126" ht="13.5"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</row>
    <row r="89" spans="14:126" ht="13.5"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</row>
    <row r="90" spans="14:126" ht="13.5"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</row>
    <row r="91" spans="14:126" ht="13.5"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</row>
    <row r="92" spans="14:126" ht="13.5"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</row>
    <row r="93" spans="14:126" ht="13.5"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</row>
    <row r="94" spans="14:126" ht="13.5"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</row>
    <row r="95" spans="14:126" ht="13.5"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</row>
    <row r="96" spans="14:126" ht="13.5"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</row>
    <row r="97" spans="14:126" ht="13.5"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</row>
    <row r="98" spans="14:126" ht="13.5"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</row>
    <row r="99" spans="14:126" ht="13.5"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</row>
    <row r="100" spans="14:126" ht="13.5"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</row>
    <row r="101" spans="14:126" ht="13.5"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</row>
    <row r="102" spans="14:126" ht="13.5"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</row>
    <row r="103" spans="14:126" ht="13.5"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</row>
    <row r="104" spans="14:126" ht="13.5"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</row>
    <row r="105" spans="14:126" ht="13.5"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</row>
    <row r="106" spans="14:126" ht="13.5"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</row>
    <row r="107" spans="14:126" ht="13.5"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</row>
    <row r="108" spans="14:126" ht="13.5"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</row>
    <row r="109" spans="14:126" ht="13.5"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</row>
    <row r="110" spans="14:126" ht="13.5"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</row>
    <row r="111" spans="14:126" ht="13.5"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</row>
    <row r="112" spans="14:126" ht="13.5"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</row>
    <row r="113" spans="14:126" ht="13.5"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</row>
    <row r="114" spans="14:126" ht="13.5"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</row>
    <row r="115" spans="14:126" ht="13.5"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</row>
    <row r="116" spans="14:126" ht="13.5"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</row>
    <row r="117" spans="14:126" ht="13.5"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</row>
    <row r="118" spans="14:126" ht="13.5"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</row>
    <row r="119" spans="14:126" ht="13.5"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</row>
    <row r="120" spans="14:126" ht="13.5"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</row>
    <row r="121" spans="14:126" ht="13.5"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</row>
    <row r="122" spans="14:126" ht="13.5"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</row>
    <row r="123" spans="14:126" ht="13.5"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</row>
    <row r="124" spans="14:126" ht="13.5"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</row>
    <row r="125" spans="14:126" ht="13.5"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</row>
    <row r="126" spans="14:126" ht="13.5"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</row>
    <row r="127" spans="14:126" ht="13.5"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</row>
    <row r="128" spans="14:126" ht="13.5"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</row>
    <row r="129" spans="14:126" ht="13.5"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</row>
    <row r="130" spans="14:126" ht="13.5"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</row>
    <row r="131" spans="14:126" ht="13.5"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</row>
    <row r="132" spans="14:126" ht="13.5"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</row>
    <row r="133" spans="14:126" ht="13.5"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</row>
    <row r="134" spans="14:126" ht="13.5"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</row>
    <row r="135" spans="14:126" ht="13.5"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</row>
    <row r="136" spans="14:126" ht="13.5"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</row>
    <row r="137" spans="14:126" ht="13.5"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</row>
    <row r="138" spans="14:126" ht="13.5"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</row>
    <row r="139" spans="14:126" ht="13.5"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</row>
    <row r="140" spans="14:126" ht="13.5"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</row>
    <row r="141" spans="14:126" ht="13.5"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</row>
    <row r="142" spans="14:126" ht="13.5"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</row>
    <row r="143" spans="14:126" ht="13.5"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</row>
    <row r="144" spans="14:126" ht="13.5"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</row>
    <row r="145" spans="14:126" ht="13.5"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</row>
    <row r="146" spans="14:126" ht="13.5"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</row>
    <row r="147" spans="14:126" ht="13.5"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</row>
    <row r="148" spans="14:126" ht="13.5"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</row>
    <row r="149" spans="14:126" ht="13.5"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</row>
    <row r="150" spans="14:126" ht="13.5"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</row>
    <row r="151" spans="14:126" ht="13.5"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</row>
    <row r="152" spans="14:126" ht="13.5"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</row>
    <row r="153" spans="14:126" ht="13.5"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</row>
    <row r="154" spans="14:126" ht="13.5"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</row>
    <row r="155" spans="14:126" ht="13.5"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</row>
    <row r="156" spans="14:126" ht="13.5"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</row>
    <row r="157" spans="14:126" ht="13.5"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</row>
    <row r="158" spans="14:126" ht="13.5"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</row>
    <row r="159" spans="14:126" ht="13.5"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</row>
    <row r="160" spans="14:126" ht="13.5"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</row>
    <row r="161" spans="14:126" ht="13.5"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</row>
    <row r="162" spans="14:126" ht="13.5"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</row>
    <row r="163" spans="14:126" ht="13.5"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</row>
    <row r="164" spans="14:126" ht="13.5"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</row>
    <row r="165" spans="14:126" ht="13.5"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</row>
    <row r="166" spans="14:126" ht="13.5"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</row>
    <row r="167" spans="14:126" ht="13.5"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</row>
    <row r="168" spans="14:126" ht="13.5"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</row>
    <row r="169" spans="14:126" ht="13.5"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</row>
    <row r="170" spans="14:126" ht="13.5"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</row>
    <row r="171" spans="14:126" ht="13.5"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</row>
    <row r="172" spans="14:126" ht="13.5"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</row>
    <row r="173" spans="14:126" ht="13.5"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</row>
    <row r="174" spans="14:126" ht="13.5"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</row>
    <row r="175" spans="14:126" ht="13.5"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</row>
    <row r="176" spans="14:126" ht="13.5"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</row>
    <row r="177" spans="14:126" ht="13.5"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</row>
    <row r="178" spans="14:126" ht="13.5"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</row>
    <row r="179" spans="14:126" ht="13.5"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</row>
    <row r="180" spans="14:126" ht="13.5"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</row>
    <row r="181" spans="14:126" ht="13.5"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</row>
    <row r="182" spans="14:126" ht="13.5"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</row>
    <row r="183" spans="14:126" ht="13.5"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</row>
    <row r="184" spans="14:126" ht="13.5"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</row>
    <row r="185" spans="14:126" ht="13.5"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</row>
    <row r="186" spans="14:126" ht="13.5"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</row>
    <row r="187" spans="14:126" ht="13.5"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</row>
    <row r="188" spans="14:126" ht="13.5"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</row>
    <row r="189" spans="14:126" ht="13.5"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</row>
    <row r="190" spans="14:126" ht="13.5"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</row>
    <row r="191" spans="14:126" ht="13.5"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</row>
    <row r="192" spans="14:126" ht="13.5"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</row>
    <row r="193" spans="14:126" ht="13.5"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</row>
    <row r="194" spans="14:126" ht="13.5"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</row>
    <row r="195" spans="14:126" ht="13.5"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</row>
    <row r="196" spans="14:126" ht="13.5"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</row>
    <row r="197" spans="14:126" ht="13.5"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</row>
    <row r="198" spans="14:126" ht="13.5"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</row>
    <row r="199" spans="14:126" ht="13.5"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</row>
    <row r="200" spans="14:126" ht="13.5"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</row>
    <row r="201" spans="14:126" ht="13.5"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</row>
    <row r="202" spans="14:126" ht="13.5"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</row>
    <row r="203" spans="14:126" ht="13.5"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</row>
    <row r="204" spans="14:126" ht="13.5"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</row>
    <row r="205" spans="14:126" ht="13.5"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</row>
    <row r="206" spans="14:126" ht="13.5"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</row>
    <row r="207" spans="14:126" ht="13.5"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</row>
    <row r="208" spans="14:126" ht="13.5"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</row>
    <row r="209" spans="14:126" ht="13.5"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</row>
    <row r="210" spans="14:126" ht="13.5"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</row>
    <row r="211" spans="14:126" ht="13.5"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</row>
    <row r="212" spans="14:126" ht="13.5"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</row>
    <row r="213" spans="14:126" ht="13.5"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</row>
    <row r="214" spans="14:126" ht="13.5"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</row>
    <row r="215" spans="14:126" ht="13.5"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</row>
    <row r="216" spans="14:126" ht="13.5"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</row>
    <row r="217" spans="14:126" ht="13.5"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</row>
    <row r="218" spans="14:126" ht="13.5"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</row>
    <row r="219" spans="14:126" ht="13.5"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</row>
    <row r="220" spans="14:126" ht="13.5"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</row>
    <row r="221" spans="14:126" ht="13.5"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</row>
    <row r="222" spans="14:126" ht="13.5"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</row>
    <row r="223" spans="14:126" ht="13.5"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</row>
    <row r="224" spans="14:126" ht="13.5"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</row>
    <row r="225" spans="14:126" ht="13.5"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</row>
    <row r="226" spans="14:126" ht="13.5"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</row>
    <row r="227" spans="14:126" ht="13.5"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</row>
    <row r="228" spans="14:126" ht="13.5"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</row>
    <row r="229" spans="14:126" ht="13.5"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</row>
    <row r="230" spans="14:126" ht="13.5"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</row>
    <row r="231" spans="14:126" ht="13.5"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</row>
    <row r="232" spans="14:126" ht="13.5"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</row>
    <row r="233" spans="14:126" ht="13.5"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</row>
    <row r="234" spans="14:126" ht="13.5"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</row>
    <row r="235" spans="14:126" ht="13.5"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</row>
    <row r="236" spans="14:126" ht="13.5"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</row>
    <row r="237" spans="14:126" ht="13.5"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</row>
    <row r="238" spans="14:126" ht="13.5"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</row>
    <row r="239" spans="14:126" ht="13.5"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</row>
    <row r="240" spans="14:126" ht="13.5"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</row>
    <row r="241" spans="14:126" ht="13.5"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</row>
    <row r="242" spans="14:126" ht="13.5"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</row>
    <row r="243" spans="14:126" ht="13.5"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</row>
    <row r="244" spans="14:126" ht="13.5"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</row>
    <row r="245" spans="14:126" ht="13.5"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</row>
    <row r="246" spans="14:126" ht="13.5"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</row>
    <row r="247" spans="14:126" ht="13.5"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</row>
    <row r="248" spans="14:126" ht="13.5"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</row>
    <row r="249" spans="14:126" ht="13.5"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</row>
    <row r="250" spans="14:126" ht="13.5"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</row>
    <row r="251" spans="14:126" ht="13.5"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</row>
    <row r="252" spans="14:126" ht="13.5"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</row>
    <row r="253" spans="14:126" ht="13.5"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</row>
    <row r="254" spans="14:126" ht="13.5"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</row>
    <row r="255" spans="14:126" ht="13.5"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</row>
    <row r="256" spans="14:126" ht="13.5"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</row>
    <row r="257" spans="14:126" ht="13.5"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</row>
    <row r="258" spans="14:126" ht="13.5"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</row>
    <row r="259" spans="14:126" ht="13.5"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</row>
    <row r="260" spans="14:126" ht="13.5"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</row>
    <row r="261" spans="14:126" ht="13.5"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</row>
    <row r="262" spans="14:126" ht="13.5"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</row>
    <row r="263" spans="14:126" ht="13.5"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</row>
    <row r="264" spans="14:126" ht="13.5"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</row>
    <row r="265" spans="14:126" ht="13.5"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</row>
    <row r="266" spans="14:126" ht="13.5"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</row>
    <row r="267" spans="14:126" ht="13.5"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</row>
    <row r="268" spans="14:126" ht="13.5"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</row>
    <row r="269" spans="14:126" ht="13.5"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</row>
    <row r="270" spans="14:126" ht="13.5"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</row>
    <row r="271" spans="14:126" ht="13.5"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</row>
    <row r="272" spans="14:126" ht="13.5"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</row>
    <row r="273" spans="14:126" ht="13.5"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</row>
    <row r="274" spans="14:126" ht="13.5"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</row>
    <row r="275" spans="14:126" ht="13.5"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</row>
    <row r="276" spans="14:126" ht="13.5"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</row>
    <row r="277" spans="14:126" ht="13.5"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</row>
    <row r="278" spans="14:126" ht="13.5"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</row>
    <row r="279" spans="14:126" ht="13.5"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</row>
    <row r="280" spans="14:126" ht="13.5"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</row>
    <row r="281" spans="14:125" ht="13.5"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</row>
    <row r="282" spans="14:125" ht="13.5"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</row>
    <row r="283" spans="14:125" ht="13.5"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</row>
    <row r="284" spans="14:125" ht="13.5"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</row>
    <row r="285" spans="14:125" ht="13.5"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</row>
    <row r="286" spans="14:125" ht="13.5"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</row>
    <row r="287" spans="14:125" ht="13.5"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</row>
    <row r="288" spans="14:125" ht="13.5"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</row>
    <row r="289" spans="14:125" ht="13.5"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</row>
    <row r="290" spans="14:125" ht="13.5"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</row>
    <row r="291" spans="14:125" ht="13.5"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</row>
    <row r="292" spans="14:125" ht="13.5"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</row>
    <row r="293" spans="14:125" ht="13.5"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</row>
    <row r="294" spans="14:125" ht="13.5"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</row>
    <row r="295" spans="14:125" ht="13.5"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</row>
    <row r="296" spans="14:125" ht="13.5"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</row>
    <row r="297" spans="14:125" ht="13.5"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</row>
    <row r="298" spans="14:125" ht="13.5"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</row>
    <row r="299" spans="14:125" ht="13.5"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</row>
    <row r="300" spans="14:125" ht="13.5"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</row>
    <row r="301" spans="14:125" ht="13.5"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</row>
    <row r="302" spans="14:125" ht="13.5"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</row>
    <row r="303" spans="14:125" ht="13.5"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</row>
    <row r="304" spans="14:125" ht="13.5"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</row>
    <row r="305" spans="14:125" ht="13.5"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</row>
    <row r="306" spans="14:125" ht="13.5"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</row>
    <row r="307" spans="14:125" ht="13.5"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</row>
    <row r="308" spans="14:125" ht="13.5"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</row>
    <row r="309" spans="14:125" ht="13.5"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</row>
    <row r="310" spans="14:125" ht="13.5"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</row>
    <row r="311" spans="14:125" ht="13.5"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</row>
    <row r="312" spans="14:125" ht="13.5"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</row>
    <row r="313" spans="14:125" ht="13.5"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</row>
    <row r="314" spans="14:125" ht="13.5"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</row>
    <row r="315" spans="14:125" ht="13.5"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</row>
    <row r="316" spans="14:125" ht="13.5"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</row>
    <row r="317" spans="14:125" ht="13.5"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</row>
    <row r="318" spans="14:125" ht="13.5"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</row>
    <row r="319" spans="14:125" ht="13.5"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</row>
    <row r="320" spans="14:125" ht="13.5"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</row>
    <row r="321" spans="14:125" ht="13.5"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</row>
    <row r="322" spans="14:125" ht="13.5"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</row>
    <row r="323" spans="14:125" ht="13.5"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</row>
    <row r="324" spans="14:125" ht="13.5"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</row>
    <row r="325" spans="14:125" ht="13.5"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</row>
    <row r="326" spans="14:125" ht="13.5"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</row>
    <row r="327" spans="14:125" ht="13.5"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</row>
    <row r="328" spans="14:125" ht="13.5"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</row>
    <row r="329" spans="14:125" ht="13.5"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</row>
    <row r="330" spans="14:125" ht="13.5"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</row>
    <row r="331" spans="14:125" ht="13.5"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</row>
    <row r="332" spans="14:125" ht="13.5"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</row>
    <row r="333" spans="14:125" ht="13.5"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</row>
    <row r="334" spans="14:125" ht="13.5"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</row>
    <row r="335" spans="14:125" ht="13.5"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</row>
    <row r="336" spans="14:125" ht="13.5"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</row>
    <row r="337" spans="14:125" ht="13.5"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</row>
    <row r="338" spans="14:125" ht="13.5"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</row>
    <row r="339" spans="14:125" ht="13.5"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</row>
    <row r="340" spans="14:125" ht="13.5"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</row>
    <row r="341" spans="14:125" ht="13.5"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</row>
    <row r="342" spans="14:125" ht="13.5"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</row>
    <row r="343" spans="14:125" ht="13.5"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</row>
    <row r="344" spans="14:125" ht="13.5"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</row>
    <row r="345" spans="14:125" ht="13.5"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</row>
    <row r="346" spans="14:125" ht="13.5"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</row>
    <row r="347" spans="14:125" ht="13.5"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</row>
    <row r="348" spans="14:125" ht="13.5"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</row>
    <row r="349" spans="14:125" ht="13.5"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</row>
    <row r="350" spans="14:125" ht="13.5"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</row>
    <row r="351" spans="14:125" ht="13.5"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</row>
    <row r="352" spans="14:125" ht="13.5"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</row>
    <row r="353" spans="14:125" ht="13.5"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</row>
    <row r="354" spans="14:125" ht="13.5"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</row>
    <row r="355" spans="14:125" ht="13.5"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</row>
    <row r="356" spans="14:125" ht="13.5"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</row>
    <row r="357" spans="14:125" ht="13.5"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</row>
    <row r="358" spans="14:125" ht="13.5"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</row>
    <row r="359" spans="14:125" ht="13.5"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</row>
    <row r="360" spans="14:125" ht="13.5"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</row>
    <row r="361" spans="14:125" ht="13.5"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</row>
    <row r="362" spans="14:125" ht="13.5"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</row>
    <row r="363" spans="14:125" ht="13.5"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</row>
    <row r="364" spans="14:125" ht="13.5"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</row>
    <row r="365" spans="14:125" ht="13.5"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</row>
    <row r="366" spans="14:125" ht="13.5"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</row>
    <row r="367" spans="14:125" ht="13.5"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</row>
    <row r="368" spans="14:125" ht="13.5"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</row>
    <row r="369" spans="14:125" ht="13.5"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</row>
    <row r="370" spans="14:125" ht="13.5"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</row>
    <row r="371" spans="14:125" ht="13.5"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</row>
    <row r="372" spans="14:125" ht="13.5"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</row>
    <row r="373" spans="14:125" ht="13.5"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</row>
    <row r="374" spans="14:125" ht="13.5"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</row>
    <row r="375" spans="14:125" ht="13.5"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</row>
    <row r="376" spans="14:125" ht="13.5"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</row>
    <row r="377" spans="14:125" ht="13.5"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</row>
    <row r="378" spans="14:125" ht="13.5"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</row>
    <row r="379" spans="14:125" ht="13.5"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</row>
    <row r="380" spans="14:125" ht="13.5"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</row>
    <row r="381" spans="14:125" ht="13.5"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</row>
    <row r="382" spans="14:125" ht="13.5"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</row>
    <row r="383" spans="14:125" ht="13.5"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</row>
    <row r="384" spans="14:125" ht="13.5"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</row>
    <row r="385" spans="14:125" ht="13.5"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</row>
    <row r="386" spans="14:125" ht="13.5"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</row>
    <row r="387" spans="14:125" ht="13.5"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</row>
    <row r="388" spans="14:125" ht="13.5"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</row>
    <row r="389" spans="14:125" ht="13.5"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</row>
    <row r="390" spans="14:125" ht="13.5"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</row>
    <row r="391" spans="14:125" ht="13.5"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</row>
    <row r="392" spans="14:125" ht="13.5"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</row>
    <row r="393" spans="14:125" ht="13.5"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</row>
    <row r="394" spans="14:125" ht="13.5"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</row>
    <row r="395" spans="14:125" ht="13.5"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</row>
    <row r="396" spans="14:125" ht="13.5"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</row>
    <row r="397" spans="14:125" ht="13.5"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</row>
    <row r="398" spans="14:125" ht="13.5"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</row>
    <row r="399" spans="14:125" ht="13.5"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</row>
    <row r="400" spans="14:125" ht="13.5"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</row>
    <row r="401" spans="14:125" ht="13.5"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</row>
    <row r="402" spans="14:125" ht="13.5"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</row>
    <row r="403" spans="14:125" ht="13.5"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</row>
    <row r="404" spans="14:125" ht="13.5"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</row>
    <row r="405" spans="14:125" ht="13.5"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</row>
    <row r="406" spans="14:125" ht="13.5"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</row>
    <row r="407" spans="14:125" ht="13.5"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</row>
    <row r="408" spans="14:125" ht="13.5"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</row>
    <row r="409" spans="14:125" ht="13.5"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</row>
    <row r="410" spans="14:125" ht="13.5"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</row>
    <row r="411" spans="14:125" ht="13.5"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</row>
    <row r="412" spans="14:125" ht="13.5"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</row>
    <row r="413" spans="14:125" ht="13.5"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</row>
    <row r="414" spans="14:125" ht="13.5"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</row>
    <row r="415" spans="14:125" ht="13.5"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</row>
    <row r="416" spans="14:125" ht="13.5"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</row>
    <row r="417" spans="14:125" ht="13.5"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</row>
    <row r="418" spans="14:125" ht="13.5"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</row>
    <row r="419" spans="14:125" ht="13.5"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</row>
    <row r="420" spans="14:125" ht="13.5"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</row>
    <row r="421" spans="14:125" ht="13.5"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</row>
    <row r="422" spans="14:125" ht="13.5"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</row>
    <row r="423" spans="14:125" ht="13.5"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</row>
    <row r="424" spans="14:125" ht="13.5"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</row>
    <row r="425" spans="14:125" ht="13.5"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</row>
    <row r="426" spans="14:125" ht="13.5"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</row>
    <row r="427" spans="14:125" ht="13.5"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</row>
    <row r="428" spans="14:125" ht="13.5"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</row>
    <row r="429" spans="14:125" ht="13.5"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</row>
    <row r="430" spans="14:125" ht="13.5"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</row>
    <row r="431" spans="14:125" ht="13.5"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</row>
    <row r="432" spans="14:125" ht="13.5"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</row>
    <row r="433" spans="14:125" ht="13.5"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</row>
    <row r="434" spans="14:125" ht="13.5"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</row>
    <row r="435" spans="14:125" ht="13.5"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</row>
    <row r="436" spans="14:125" ht="13.5"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</row>
    <row r="437" spans="14:125" ht="13.5"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</row>
  </sheetData>
  <sheetProtection/>
  <mergeCells count="35">
    <mergeCell ref="F7:F10"/>
    <mergeCell ref="E7:E10"/>
    <mergeCell ref="I7:J8"/>
    <mergeCell ref="A6:A10"/>
    <mergeCell ref="G7:H8"/>
    <mergeCell ref="B6:B10"/>
    <mergeCell ref="B4:C4"/>
    <mergeCell ref="C6:C10"/>
    <mergeCell ref="L9:L10"/>
    <mergeCell ref="E6:F6"/>
    <mergeCell ref="D6:D10"/>
    <mergeCell ref="K9:K10"/>
    <mergeCell ref="G9:G10"/>
    <mergeCell ref="H9:H10"/>
    <mergeCell ref="K7:L8"/>
    <mergeCell ref="I9:I10"/>
    <mergeCell ref="A1:M1"/>
    <mergeCell ref="A5:M5"/>
    <mergeCell ref="J9:J10"/>
    <mergeCell ref="A2:M2"/>
    <mergeCell ref="D4:E4"/>
    <mergeCell ref="B3:C3"/>
    <mergeCell ref="D3:E3"/>
    <mergeCell ref="G3:I3"/>
    <mergeCell ref="G6:M6"/>
    <mergeCell ref="M7:M10"/>
    <mergeCell ref="B52:D52"/>
    <mergeCell ref="C49:D49"/>
    <mergeCell ref="A50:E50"/>
    <mergeCell ref="C40:G40"/>
    <mergeCell ref="C44:D44"/>
    <mergeCell ref="C46:E46"/>
    <mergeCell ref="C47:D47"/>
    <mergeCell ref="C42:D42"/>
    <mergeCell ref="A51:E51"/>
  </mergeCells>
  <printOptions/>
  <pageMargins left="0.537401575" right="0.025590551" top="0.551181102" bottom="0.5" header="0.15748031496063" footer="0.15748031496063"/>
  <pageSetup firstPageNumber="5" useFirstPageNumber="1" horizontalDpi="300" verticalDpi="300" orientation="landscape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DW57"/>
  <sheetViews>
    <sheetView zoomScalePageLayoutView="0" workbookViewId="0" topLeftCell="A7">
      <selection activeCell="D7" sqref="D7:D10"/>
    </sheetView>
  </sheetViews>
  <sheetFormatPr defaultColWidth="9.00390625" defaultRowHeight="12.75"/>
  <cols>
    <col min="1" max="1" width="0.6171875" style="0" customWidth="1"/>
    <col min="2" max="2" width="3.625" style="0" customWidth="1"/>
    <col min="3" max="3" width="10.375" style="0" customWidth="1"/>
    <col min="4" max="4" width="41.875" style="0" customWidth="1"/>
    <col min="5" max="5" width="7.00390625" style="0" customWidth="1"/>
    <col min="6" max="6" width="6.125" style="0" customWidth="1"/>
    <col min="7" max="7" width="8.375" style="0" customWidth="1"/>
    <col min="8" max="8" width="7.375" style="0" customWidth="1"/>
    <col min="9" max="9" width="8.875" style="0" customWidth="1"/>
    <col min="10" max="10" width="7.625" style="0" customWidth="1"/>
    <col min="11" max="11" width="9.625" style="0" customWidth="1"/>
    <col min="12" max="12" width="7.25390625" style="0" customWidth="1"/>
    <col min="13" max="13" width="9.375" style="0" customWidth="1"/>
    <col min="14" max="14" width="10.75390625" style="0" customWidth="1"/>
    <col min="15" max="15" width="0.6171875" style="0" customWidth="1"/>
    <col min="18" max="18" width="10.75390625" style="0" customWidth="1"/>
  </cols>
  <sheetData>
    <row r="1" spans="1:125" s="1" customFormat="1" ht="25.5" customHeight="1">
      <c r="A1" s="348" t="s">
        <v>74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82"/>
      <c r="P1" s="82"/>
      <c r="Q1" s="83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</row>
    <row r="2" spans="2:126" s="98" customFormat="1" ht="24" customHeight="1">
      <c r="B2" s="349" t="s">
        <v>76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99"/>
      <c r="P2" s="99"/>
      <c r="Q2" s="99"/>
      <c r="R2" s="100" t="s">
        <v>77</v>
      </c>
      <c r="S2" s="99">
        <v>180</v>
      </c>
      <c r="T2" s="99">
        <f>S2/30-1</f>
        <v>5</v>
      </c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</row>
    <row r="3" spans="2:126" s="98" customFormat="1" ht="21.75" customHeight="1">
      <c r="B3" s="101"/>
      <c r="C3" s="350" t="s">
        <v>17</v>
      </c>
      <c r="D3" s="350"/>
      <c r="E3" s="351">
        <f>N52</f>
        <v>5314.930707480253</v>
      </c>
      <c r="F3" s="351"/>
      <c r="G3" s="102" t="s">
        <v>26</v>
      </c>
      <c r="H3" s="352" t="s">
        <v>19</v>
      </c>
      <c r="I3" s="352"/>
      <c r="J3" s="352"/>
      <c r="K3" s="103"/>
      <c r="L3" s="103"/>
      <c r="M3" s="103"/>
      <c r="N3" s="103"/>
      <c r="O3" s="99"/>
      <c r="P3" s="99"/>
      <c r="Q3" s="99"/>
      <c r="R3" s="100" t="s">
        <v>78</v>
      </c>
      <c r="S3" s="99">
        <f>170+10</f>
        <v>180</v>
      </c>
      <c r="T3" s="99">
        <f>S3/30-1</f>
        <v>5</v>
      </c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</row>
    <row r="4" spans="2:126" s="98" customFormat="1" ht="20.25" customHeight="1">
      <c r="B4" s="101"/>
      <c r="C4" s="350"/>
      <c r="D4" s="350"/>
      <c r="E4" s="353"/>
      <c r="F4" s="353"/>
      <c r="G4" s="102"/>
      <c r="H4" s="102"/>
      <c r="I4" s="104"/>
      <c r="J4" s="105"/>
      <c r="K4" s="103"/>
      <c r="L4" s="103"/>
      <c r="M4" s="103"/>
      <c r="N4" s="103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</row>
    <row r="5" spans="2:126" s="98" customFormat="1" ht="22.5" customHeight="1">
      <c r="B5" s="337" t="s">
        <v>79</v>
      </c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</row>
    <row r="6" spans="2:126" s="2" customFormat="1" ht="6" customHeight="1"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</row>
    <row r="7" spans="2:126" s="1" customFormat="1" ht="20.25" customHeight="1">
      <c r="B7" s="338" t="s">
        <v>0</v>
      </c>
      <c r="C7" s="336" t="s">
        <v>9</v>
      </c>
      <c r="D7" s="342" t="s">
        <v>1</v>
      </c>
      <c r="E7" s="335" t="s">
        <v>136</v>
      </c>
      <c r="F7" s="346" t="s">
        <v>2</v>
      </c>
      <c r="G7" s="346"/>
      <c r="H7" s="347" t="s">
        <v>33</v>
      </c>
      <c r="I7" s="347"/>
      <c r="J7" s="347"/>
      <c r="K7" s="347"/>
      <c r="L7" s="347"/>
      <c r="M7" s="347"/>
      <c r="N7" s="34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</row>
    <row r="8" spans="2:126" s="1" customFormat="1" ht="18.75" customHeight="1">
      <c r="B8" s="339"/>
      <c r="C8" s="341"/>
      <c r="D8" s="343"/>
      <c r="E8" s="344"/>
      <c r="F8" s="341" t="s">
        <v>12</v>
      </c>
      <c r="G8" s="341" t="s">
        <v>10</v>
      </c>
      <c r="H8" s="334" t="s">
        <v>13</v>
      </c>
      <c r="I8" s="334"/>
      <c r="J8" s="334" t="s">
        <v>14</v>
      </c>
      <c r="K8" s="334"/>
      <c r="L8" s="334" t="s">
        <v>15</v>
      </c>
      <c r="M8" s="334"/>
      <c r="N8" s="334" t="s">
        <v>7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</row>
    <row r="9" spans="2:126" s="1" customFormat="1" ht="20.25" customHeight="1">
      <c r="B9" s="339"/>
      <c r="C9" s="341"/>
      <c r="D9" s="343"/>
      <c r="E9" s="344"/>
      <c r="F9" s="341"/>
      <c r="G9" s="341"/>
      <c r="H9" s="335" t="s">
        <v>18</v>
      </c>
      <c r="I9" s="334" t="s">
        <v>3</v>
      </c>
      <c r="J9" s="335" t="s">
        <v>18</v>
      </c>
      <c r="K9" s="334" t="s">
        <v>3</v>
      </c>
      <c r="L9" s="335" t="s">
        <v>18</v>
      </c>
      <c r="M9" s="334" t="s">
        <v>3</v>
      </c>
      <c r="N9" s="334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</row>
    <row r="10" spans="2:126" s="1" customFormat="1" ht="42.75" customHeight="1">
      <c r="B10" s="340"/>
      <c r="C10" s="341"/>
      <c r="D10" s="343"/>
      <c r="E10" s="345"/>
      <c r="F10" s="341"/>
      <c r="G10" s="341"/>
      <c r="H10" s="336"/>
      <c r="I10" s="334"/>
      <c r="J10" s="336"/>
      <c r="K10" s="334"/>
      <c r="L10" s="336"/>
      <c r="M10" s="334"/>
      <c r="N10" s="334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</row>
    <row r="11" spans="2:126" s="1" customFormat="1" ht="14.25" thickBot="1">
      <c r="B11" s="106">
        <v>1</v>
      </c>
      <c r="C11" s="106">
        <v>2</v>
      </c>
      <c r="D11" s="106">
        <v>3</v>
      </c>
      <c r="E11" s="106">
        <v>4</v>
      </c>
      <c r="F11" s="106">
        <v>5</v>
      </c>
      <c r="G11" s="106">
        <v>6</v>
      </c>
      <c r="H11" s="106">
        <v>7</v>
      </c>
      <c r="I11" s="106">
        <v>8</v>
      </c>
      <c r="J11" s="106">
        <v>9</v>
      </c>
      <c r="K11" s="106">
        <v>10</v>
      </c>
      <c r="L11" s="106">
        <v>11</v>
      </c>
      <c r="M11" s="106">
        <v>12</v>
      </c>
      <c r="N11" s="106">
        <v>13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</row>
    <row r="12" spans="2:126" s="1" customFormat="1" ht="41.25" thickTop="1">
      <c r="B12" s="14">
        <v>1</v>
      </c>
      <c r="C12" s="107" t="s">
        <v>80</v>
      </c>
      <c r="D12" s="108" t="s">
        <v>81</v>
      </c>
      <c r="E12" s="108" t="s">
        <v>16</v>
      </c>
      <c r="F12" s="108"/>
      <c r="G12" s="108">
        <v>6</v>
      </c>
      <c r="H12" s="109"/>
      <c r="I12" s="110"/>
      <c r="J12" s="110"/>
      <c r="K12" s="110"/>
      <c r="L12" s="110"/>
      <c r="M12" s="110"/>
      <c r="N12" s="111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</row>
    <row r="13" spans="2:126" s="1" customFormat="1" ht="16.5">
      <c r="B13" s="14"/>
      <c r="C13" s="112"/>
      <c r="D13" s="113" t="s">
        <v>31</v>
      </c>
      <c r="E13" s="112" t="s">
        <v>30</v>
      </c>
      <c r="F13" s="112">
        <v>0.28</v>
      </c>
      <c r="G13" s="114">
        <f>F13*G12</f>
        <v>1.6800000000000002</v>
      </c>
      <c r="H13" s="112">
        <v>4.6</v>
      </c>
      <c r="I13" s="115">
        <f>H13*G13</f>
        <v>7.728</v>
      </c>
      <c r="J13" s="116">
        <v>0</v>
      </c>
      <c r="K13" s="116">
        <f>G13*J13</f>
        <v>0</v>
      </c>
      <c r="L13" s="116">
        <v>0</v>
      </c>
      <c r="M13" s="116">
        <f>L13*G13</f>
        <v>0</v>
      </c>
      <c r="N13" s="115">
        <f>I13</f>
        <v>7.728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</row>
    <row r="14" spans="2:126" s="1" customFormat="1" ht="17.25" thickBot="1">
      <c r="B14" s="117"/>
      <c r="C14" s="118" t="s">
        <v>82</v>
      </c>
      <c r="D14" s="119" t="s">
        <v>83</v>
      </c>
      <c r="E14" s="118" t="s">
        <v>29</v>
      </c>
      <c r="F14" s="118">
        <v>0.314</v>
      </c>
      <c r="G14" s="120">
        <f>F14*G12</f>
        <v>1.884</v>
      </c>
      <c r="H14" s="121">
        <v>0</v>
      </c>
      <c r="I14" s="121">
        <f>H14*G14</f>
        <v>0</v>
      </c>
      <c r="J14" s="121">
        <v>0</v>
      </c>
      <c r="K14" s="121">
        <f>G14*J14</f>
        <v>0</v>
      </c>
      <c r="L14" s="122">
        <v>26.95</v>
      </c>
      <c r="M14" s="123">
        <f>L14*G14</f>
        <v>50.773799999999994</v>
      </c>
      <c r="N14" s="123">
        <f>M14</f>
        <v>50.773799999999994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</row>
    <row r="15" spans="2:126" s="1" customFormat="1" ht="17.25" thickTop="1">
      <c r="B15" s="124">
        <v>2</v>
      </c>
      <c r="C15" s="324" t="s">
        <v>137</v>
      </c>
      <c r="D15" s="108" t="s">
        <v>43</v>
      </c>
      <c r="E15" s="108" t="s">
        <v>84</v>
      </c>
      <c r="F15" s="108"/>
      <c r="G15" s="177">
        <f>G12*Q15</f>
        <v>1.4129999999999998</v>
      </c>
      <c r="H15" s="178"/>
      <c r="I15" s="179"/>
      <c r="J15" s="179"/>
      <c r="K15" s="179"/>
      <c r="L15" s="179"/>
      <c r="M15" s="179"/>
      <c r="N15" s="180"/>
      <c r="O15"/>
      <c r="P15"/>
      <c r="Q15">
        <f>3.14*0.25*0.25*1.2</f>
        <v>0.2355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</row>
    <row r="16" spans="2:126" s="1" customFormat="1" ht="16.5">
      <c r="B16" s="12"/>
      <c r="C16" s="325"/>
      <c r="D16" s="113" t="s">
        <v>31</v>
      </c>
      <c r="E16" s="112" t="s">
        <v>30</v>
      </c>
      <c r="F16" s="112">
        <v>4.12</v>
      </c>
      <c r="G16" s="126">
        <f>F16*G15</f>
        <v>5.821559999999999</v>
      </c>
      <c r="H16" s="112">
        <v>4.6</v>
      </c>
      <c r="I16" s="115">
        <f>H16*G16</f>
        <v>26.779175999999993</v>
      </c>
      <c r="J16" s="116">
        <v>0</v>
      </c>
      <c r="K16" s="116">
        <f>G16*J16</f>
        <v>0</v>
      </c>
      <c r="L16" s="116">
        <v>0</v>
      </c>
      <c r="M16" s="116">
        <f>L16*G16</f>
        <v>0</v>
      </c>
      <c r="N16" s="127">
        <f>I16</f>
        <v>26.779175999999993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</row>
    <row r="17" spans="2:126" s="1" customFormat="1" ht="17.25" thickBot="1">
      <c r="B17" s="128"/>
      <c r="C17" s="118" t="s">
        <v>85</v>
      </c>
      <c r="D17" s="119" t="s">
        <v>86</v>
      </c>
      <c r="E17" s="118" t="s">
        <v>87</v>
      </c>
      <c r="F17" s="118"/>
      <c r="G17" s="129">
        <f>G15</f>
        <v>1.4129999999999998</v>
      </c>
      <c r="H17" s="121">
        <v>0</v>
      </c>
      <c r="I17" s="121">
        <f>H17*G17</f>
        <v>0</v>
      </c>
      <c r="J17" s="130">
        <v>97</v>
      </c>
      <c r="K17" s="123">
        <f>G17*J17</f>
        <v>137.06099999999998</v>
      </c>
      <c r="L17" s="121">
        <v>0</v>
      </c>
      <c r="M17" s="121">
        <f>L17*G17</f>
        <v>0</v>
      </c>
      <c r="N17" s="123">
        <f>M17+K17</f>
        <v>137.06099999999998</v>
      </c>
      <c r="O17"/>
      <c r="P17" s="131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</row>
    <row r="18" spans="2:18" ht="41.25" customHeight="1" thickTop="1">
      <c r="B18" s="132">
        <v>3</v>
      </c>
      <c r="C18" s="326" t="s">
        <v>88</v>
      </c>
      <c r="D18" s="108" t="s">
        <v>89</v>
      </c>
      <c r="E18" s="133" t="s">
        <v>6</v>
      </c>
      <c r="F18" s="133"/>
      <c r="G18" s="134">
        <f>G12*R18</f>
        <v>0.89184</v>
      </c>
      <c r="H18" s="109"/>
      <c r="I18" s="110"/>
      <c r="J18" s="110"/>
      <c r="K18" s="110"/>
      <c r="L18" s="110"/>
      <c r="M18" s="110"/>
      <c r="N18" s="111"/>
      <c r="R18">
        <f>(10*14+2*4.32)/1000</f>
        <v>0.14864</v>
      </c>
    </row>
    <row r="19" spans="2:126" s="1" customFormat="1" ht="13.5" customHeight="1">
      <c r="B19" s="135"/>
      <c r="C19" s="327"/>
      <c r="D19" s="113" t="s">
        <v>31</v>
      </c>
      <c r="E19" s="112" t="s">
        <v>90</v>
      </c>
      <c r="F19" s="112">
        <v>65.5</v>
      </c>
      <c r="G19" s="136">
        <f>F19*G18</f>
        <v>58.41552</v>
      </c>
      <c r="H19" s="112">
        <v>4.6</v>
      </c>
      <c r="I19" s="115">
        <f>H19*G19</f>
        <v>268.711392</v>
      </c>
      <c r="J19" s="115">
        <v>0</v>
      </c>
      <c r="K19" s="115">
        <f>G19*J19</f>
        <v>0</v>
      </c>
      <c r="L19" s="116">
        <v>0</v>
      </c>
      <c r="M19" s="116">
        <f>L19*G19</f>
        <v>0</v>
      </c>
      <c r="N19" s="115">
        <f>I19</f>
        <v>268.711392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</row>
    <row r="20" spans="2:14" ht="13.5" customHeight="1">
      <c r="B20" s="135"/>
      <c r="C20" s="328"/>
      <c r="D20" s="137" t="s">
        <v>23</v>
      </c>
      <c r="E20" s="138" t="s">
        <v>26</v>
      </c>
      <c r="F20" s="138">
        <v>4.48</v>
      </c>
      <c r="G20" s="139">
        <f>F20*G18</f>
        <v>3.9954432000000004</v>
      </c>
      <c r="H20" s="116">
        <v>0</v>
      </c>
      <c r="I20" s="116">
        <f>H20*G20</f>
        <v>0</v>
      </c>
      <c r="J20" s="138"/>
      <c r="K20" s="140">
        <f>J20*G20</f>
        <v>0</v>
      </c>
      <c r="L20" s="138">
        <v>3.2</v>
      </c>
      <c r="M20" s="140">
        <f>L20*G20</f>
        <v>12.785418240000002</v>
      </c>
      <c r="N20" s="140">
        <f>M20+K20+I20</f>
        <v>12.785418240000002</v>
      </c>
    </row>
    <row r="21" spans="2:18" ht="13.5" customHeight="1">
      <c r="B21" s="135"/>
      <c r="C21" s="112" t="s">
        <v>91</v>
      </c>
      <c r="D21" s="113" t="s">
        <v>92</v>
      </c>
      <c r="E21" s="112" t="s">
        <v>93</v>
      </c>
      <c r="F21" s="112" t="s">
        <v>94</v>
      </c>
      <c r="G21" s="126">
        <f>G12*R21</f>
        <v>60</v>
      </c>
      <c r="H21" s="116">
        <v>0</v>
      </c>
      <c r="I21" s="116">
        <f aca="true" t="shared" si="0" ref="I21:I29">H21*G21</f>
        <v>0</v>
      </c>
      <c r="J21" s="114">
        <v>23.7</v>
      </c>
      <c r="K21" s="114">
        <f aca="true" t="shared" si="1" ref="K21:K29">J21*G21</f>
        <v>1422</v>
      </c>
      <c r="L21" s="116">
        <v>0</v>
      </c>
      <c r="M21" s="116">
        <f aca="true" t="shared" si="2" ref="M21:M29">L21*G21</f>
        <v>0</v>
      </c>
      <c r="N21" s="114">
        <f aca="true" t="shared" si="3" ref="N21:N29">M21+K21+I21</f>
        <v>1422</v>
      </c>
      <c r="R21">
        <v>10</v>
      </c>
    </row>
    <row r="22" spans="2:18" ht="13.5" customHeight="1">
      <c r="B22" s="135"/>
      <c r="C22" s="112" t="s">
        <v>95</v>
      </c>
      <c r="D22" s="113" t="s">
        <v>96</v>
      </c>
      <c r="E22" s="112" t="s">
        <v>93</v>
      </c>
      <c r="F22" s="112" t="s">
        <v>94</v>
      </c>
      <c r="G22" s="126">
        <f>G12*R22</f>
        <v>12</v>
      </c>
      <c r="H22" s="116">
        <v>0</v>
      </c>
      <c r="I22" s="116">
        <f t="shared" si="0"/>
        <v>0</v>
      </c>
      <c r="J22" s="114">
        <v>6.5</v>
      </c>
      <c r="K22" s="114">
        <f t="shared" si="1"/>
        <v>78</v>
      </c>
      <c r="L22" s="116">
        <v>0</v>
      </c>
      <c r="M22" s="116">
        <f t="shared" si="2"/>
        <v>0</v>
      </c>
      <c r="N22" s="114">
        <f t="shared" si="3"/>
        <v>78</v>
      </c>
      <c r="R22">
        <v>2</v>
      </c>
    </row>
    <row r="23" spans="2:18" ht="13.5" customHeight="1">
      <c r="B23" s="135"/>
      <c r="C23" s="112" t="s">
        <v>97</v>
      </c>
      <c r="D23" s="113" t="s">
        <v>98</v>
      </c>
      <c r="E23" s="112" t="s">
        <v>93</v>
      </c>
      <c r="F23" s="112" t="s">
        <v>94</v>
      </c>
      <c r="G23" s="112">
        <f>R23*G12</f>
        <v>1.2000000000000002</v>
      </c>
      <c r="H23" s="116">
        <v>0</v>
      </c>
      <c r="I23" s="116">
        <f t="shared" si="0"/>
        <v>0</v>
      </c>
      <c r="J23" s="114">
        <v>5.3</v>
      </c>
      <c r="K23" s="114">
        <f t="shared" si="1"/>
        <v>6.36</v>
      </c>
      <c r="L23" s="116">
        <v>0</v>
      </c>
      <c r="M23" s="116">
        <f t="shared" si="2"/>
        <v>0</v>
      </c>
      <c r="N23" s="114">
        <f t="shared" si="3"/>
        <v>6.36</v>
      </c>
      <c r="R23">
        <v>0.2</v>
      </c>
    </row>
    <row r="24" spans="2:126" s="1" customFormat="1" ht="27" customHeight="1">
      <c r="B24" s="135"/>
      <c r="C24" s="112" t="s">
        <v>99</v>
      </c>
      <c r="D24" s="113" t="s">
        <v>100</v>
      </c>
      <c r="E24" s="112" t="s">
        <v>101</v>
      </c>
      <c r="F24" s="112" t="s">
        <v>94</v>
      </c>
      <c r="G24" s="136">
        <f>G12*R24</f>
        <v>0.11699999999999999</v>
      </c>
      <c r="H24" s="114"/>
      <c r="I24" s="115">
        <f>G24*H24</f>
        <v>0</v>
      </c>
      <c r="J24" s="141">
        <v>27.1</v>
      </c>
      <c r="K24" s="115">
        <f>G24*J24</f>
        <v>3.1707</v>
      </c>
      <c r="L24" s="142"/>
      <c r="M24" s="115">
        <f>G24*L24</f>
        <v>0</v>
      </c>
      <c r="N24" s="142">
        <f>I24+K24+M24</f>
        <v>3.1707</v>
      </c>
      <c r="O24"/>
      <c r="P24"/>
      <c r="Q24"/>
      <c r="R24" s="143">
        <v>0.0195</v>
      </c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</row>
    <row r="25" spans="2:126" s="1" customFormat="1" ht="27">
      <c r="B25" s="135"/>
      <c r="C25" s="112" t="s">
        <v>102</v>
      </c>
      <c r="D25" s="113" t="s">
        <v>103</v>
      </c>
      <c r="E25" s="112" t="s">
        <v>104</v>
      </c>
      <c r="F25" s="112" t="s">
        <v>94</v>
      </c>
      <c r="G25" s="136">
        <f>G12*R25</f>
        <v>1.02</v>
      </c>
      <c r="H25" s="114"/>
      <c r="I25" s="115">
        <f>G25*H25</f>
        <v>0</v>
      </c>
      <c r="J25" s="144">
        <v>0.8</v>
      </c>
      <c r="K25" s="115">
        <f>G25*J25</f>
        <v>0.8160000000000001</v>
      </c>
      <c r="L25" s="142"/>
      <c r="M25" s="115">
        <f>G25*L25</f>
        <v>0</v>
      </c>
      <c r="N25" s="142">
        <f>I25+K25+M25</f>
        <v>0.8160000000000001</v>
      </c>
      <c r="O25"/>
      <c r="P25"/>
      <c r="Q25"/>
      <c r="R25" s="143">
        <v>0.17</v>
      </c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</row>
    <row r="26" spans="2:14" ht="44.25" customHeight="1">
      <c r="B26" s="145"/>
      <c r="C26" s="112" t="s">
        <v>32</v>
      </c>
      <c r="D26" s="113" t="s">
        <v>105</v>
      </c>
      <c r="E26" s="112" t="s">
        <v>16</v>
      </c>
      <c r="F26" s="112" t="s">
        <v>94</v>
      </c>
      <c r="G26" s="112">
        <f>G12</f>
        <v>6</v>
      </c>
      <c r="H26" s="116">
        <v>0</v>
      </c>
      <c r="I26" s="116">
        <f>H26*G26</f>
        <v>0</v>
      </c>
      <c r="J26" s="114">
        <v>95</v>
      </c>
      <c r="K26" s="114">
        <f>J26*G26</f>
        <v>570</v>
      </c>
      <c r="L26" s="116">
        <v>0</v>
      </c>
      <c r="M26" s="116">
        <f>L26*G26</f>
        <v>0</v>
      </c>
      <c r="N26" s="114">
        <f>M26+K26+I26</f>
        <v>570</v>
      </c>
    </row>
    <row r="27" spans="2:14" ht="13.5" customHeight="1">
      <c r="B27" s="145"/>
      <c r="C27" s="138" t="s">
        <v>106</v>
      </c>
      <c r="D27" s="137" t="s">
        <v>83</v>
      </c>
      <c r="E27" s="138" t="s">
        <v>107</v>
      </c>
      <c r="F27" s="146">
        <v>11.7</v>
      </c>
      <c r="G27" s="139">
        <f>F27*G18</f>
        <v>10.434527999999998</v>
      </c>
      <c r="H27" s="140">
        <v>7.95</v>
      </c>
      <c r="I27" s="140">
        <f t="shared" si="0"/>
        <v>82.9544976</v>
      </c>
      <c r="J27" s="125"/>
      <c r="K27" s="125">
        <f t="shared" si="1"/>
        <v>0</v>
      </c>
      <c r="L27" s="140">
        <f>26.95-H27</f>
        <v>19</v>
      </c>
      <c r="M27" s="140">
        <f t="shared" si="2"/>
        <v>198.25603199999998</v>
      </c>
      <c r="N27" s="140">
        <f t="shared" si="3"/>
        <v>281.2105296</v>
      </c>
    </row>
    <row r="28" spans="2:14" ht="13.5" customHeight="1">
      <c r="B28" s="135"/>
      <c r="C28" s="112" t="s">
        <v>108</v>
      </c>
      <c r="D28" s="137" t="s">
        <v>109</v>
      </c>
      <c r="E28" s="138" t="s">
        <v>110</v>
      </c>
      <c r="F28" s="138">
        <v>2.5</v>
      </c>
      <c r="G28" s="140">
        <f>F28*G18</f>
        <v>2.2296</v>
      </c>
      <c r="H28" s="116">
        <v>0</v>
      </c>
      <c r="I28" s="116">
        <f>H28*G28</f>
        <v>0</v>
      </c>
      <c r="J28" s="138">
        <v>2.4</v>
      </c>
      <c r="K28" s="140">
        <f>J28*G28</f>
        <v>5.35104</v>
      </c>
      <c r="L28" s="116">
        <v>0</v>
      </c>
      <c r="M28" s="116">
        <f>L28*G28</f>
        <v>0</v>
      </c>
      <c r="N28" s="140">
        <f>M28+K28+I28</f>
        <v>5.35104</v>
      </c>
    </row>
    <row r="29" spans="2:14" ht="14.25" customHeight="1" thickBot="1">
      <c r="B29" s="147"/>
      <c r="C29" s="148"/>
      <c r="D29" s="119" t="s">
        <v>25</v>
      </c>
      <c r="E29" s="118" t="s">
        <v>26</v>
      </c>
      <c r="F29" s="118">
        <v>2.2</v>
      </c>
      <c r="G29" s="129">
        <f>F29*G18</f>
        <v>1.962048</v>
      </c>
      <c r="H29" s="121">
        <v>0</v>
      </c>
      <c r="I29" s="121">
        <f t="shared" si="0"/>
        <v>0</v>
      </c>
      <c r="J29" s="118">
        <v>3.2</v>
      </c>
      <c r="K29" s="129">
        <f t="shared" si="1"/>
        <v>6.2785536</v>
      </c>
      <c r="L29" s="121">
        <v>0</v>
      </c>
      <c r="M29" s="121">
        <f t="shared" si="2"/>
        <v>0</v>
      </c>
      <c r="N29" s="129">
        <f t="shared" si="3"/>
        <v>6.2785536</v>
      </c>
    </row>
    <row r="30" spans="2:126" s="1" customFormat="1" ht="28.5" customHeight="1" thickTop="1">
      <c r="B30" s="124">
        <v>4</v>
      </c>
      <c r="C30" s="329" t="s">
        <v>111</v>
      </c>
      <c r="D30" s="149" t="s">
        <v>49</v>
      </c>
      <c r="E30" s="150" t="s">
        <v>112</v>
      </c>
      <c r="F30" s="150"/>
      <c r="G30" s="150">
        <f>G12*Q30</f>
        <v>25.799999999999997</v>
      </c>
      <c r="H30" s="109"/>
      <c r="I30" s="110"/>
      <c r="J30" s="110"/>
      <c r="K30" s="110"/>
      <c r="L30" s="110"/>
      <c r="M30" s="110"/>
      <c r="N30" s="111"/>
      <c r="O30"/>
      <c r="P30"/>
      <c r="Q30">
        <v>4.3</v>
      </c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</row>
    <row r="31" spans="2:126" s="1" customFormat="1" ht="17.25" customHeight="1">
      <c r="B31" s="12"/>
      <c r="C31" s="330"/>
      <c r="D31" s="113" t="s">
        <v>31</v>
      </c>
      <c r="E31" s="112" t="s">
        <v>30</v>
      </c>
      <c r="F31" s="112">
        <v>0.388</v>
      </c>
      <c r="G31" s="126">
        <f>G30*F31</f>
        <v>10.010399999999999</v>
      </c>
      <c r="H31" s="112">
        <v>3.2</v>
      </c>
      <c r="I31" s="115">
        <f>G31*H31</f>
        <v>32.03328</v>
      </c>
      <c r="J31" s="116">
        <v>0</v>
      </c>
      <c r="K31" s="116">
        <f>G31*J31</f>
        <v>0</v>
      </c>
      <c r="L31" s="116">
        <v>0</v>
      </c>
      <c r="M31" s="116">
        <f>G31*L31</f>
        <v>0</v>
      </c>
      <c r="N31" s="142">
        <f>I31+K31+M31</f>
        <v>32.03328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</row>
    <row r="32" spans="2:126" s="1" customFormat="1" ht="17.25" customHeight="1" thickBot="1">
      <c r="B32" s="128"/>
      <c r="C32" s="151" t="s">
        <v>113</v>
      </c>
      <c r="D32" s="152" t="s">
        <v>114</v>
      </c>
      <c r="E32" s="153" t="s">
        <v>5</v>
      </c>
      <c r="F32" s="154">
        <v>0.25</v>
      </c>
      <c r="G32" s="154">
        <f>G30*F32</f>
        <v>6.449999999999999</v>
      </c>
      <c r="H32" s="121">
        <v>0</v>
      </c>
      <c r="I32" s="121">
        <f>G32*H32</f>
        <v>0</v>
      </c>
      <c r="J32" s="155">
        <v>15</v>
      </c>
      <c r="K32" s="123">
        <f>G32*J32</f>
        <v>96.74999999999999</v>
      </c>
      <c r="L32" s="121">
        <v>0</v>
      </c>
      <c r="M32" s="121">
        <f>G32*L32</f>
        <v>0</v>
      </c>
      <c r="N32" s="130">
        <f>I32+K32+M32</f>
        <v>96.74999999999999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</row>
    <row r="33" spans="2:14" ht="27.75" thickTop="1">
      <c r="B33" s="156">
        <v>5</v>
      </c>
      <c r="C33" s="326" t="s">
        <v>115</v>
      </c>
      <c r="D33" s="157" t="s">
        <v>116</v>
      </c>
      <c r="E33" s="133"/>
      <c r="F33" s="133"/>
      <c r="G33" s="158">
        <f>G37+G38</f>
        <v>200.6</v>
      </c>
      <c r="H33" s="159"/>
      <c r="I33" s="160"/>
      <c r="J33" s="160"/>
      <c r="K33" s="160"/>
      <c r="L33" s="160"/>
      <c r="M33" s="160"/>
      <c r="N33" s="161"/>
    </row>
    <row r="34" spans="2:14" ht="15.75">
      <c r="B34" s="156"/>
      <c r="C34" s="328"/>
      <c r="D34" s="113" t="s">
        <v>117</v>
      </c>
      <c r="E34" s="112" t="s">
        <v>118</v>
      </c>
      <c r="F34" s="112">
        <v>0.0193</v>
      </c>
      <c r="G34" s="136">
        <f>F34*G33</f>
        <v>3.8715800000000002</v>
      </c>
      <c r="H34" s="112">
        <v>4.6</v>
      </c>
      <c r="I34" s="114">
        <f>H34*G34</f>
        <v>17.809268</v>
      </c>
      <c r="J34" s="116">
        <v>0</v>
      </c>
      <c r="K34" s="116">
        <f>J34*G34</f>
        <v>0</v>
      </c>
      <c r="L34" s="116">
        <v>0</v>
      </c>
      <c r="M34" s="116">
        <f>L34*G34</f>
        <v>0</v>
      </c>
      <c r="N34" s="114">
        <f>M34+K34+I34</f>
        <v>17.809268</v>
      </c>
    </row>
    <row r="35" spans="2:14" ht="15.75" customHeight="1">
      <c r="B35" s="156"/>
      <c r="C35" s="162" t="s">
        <v>119</v>
      </c>
      <c r="D35" s="113" t="s">
        <v>25</v>
      </c>
      <c r="E35" s="112" t="s">
        <v>26</v>
      </c>
      <c r="F35" s="112">
        <v>0.00242</v>
      </c>
      <c r="G35" s="136">
        <f>F35*G33</f>
        <v>0.48545199999999994</v>
      </c>
      <c r="H35" s="116">
        <v>0</v>
      </c>
      <c r="I35" s="116">
        <f aca="true" t="shared" si="4" ref="I35:I41">H35*G35</f>
        <v>0</v>
      </c>
      <c r="J35" s="116">
        <v>0</v>
      </c>
      <c r="K35" s="116">
        <f aca="true" t="shared" si="5" ref="K35:K41">J35*G35</f>
        <v>0</v>
      </c>
      <c r="L35" s="112">
        <v>3.2</v>
      </c>
      <c r="M35" s="114">
        <f aca="true" t="shared" si="6" ref="M35:M41">L35*G35</f>
        <v>1.5534464</v>
      </c>
      <c r="N35" s="114">
        <f aca="true" t="shared" si="7" ref="N35:N41">M35+K35+I35</f>
        <v>1.5534464</v>
      </c>
    </row>
    <row r="36" spans="2:14" ht="15.75" customHeight="1">
      <c r="B36" s="156"/>
      <c r="C36" s="163" t="s">
        <v>120</v>
      </c>
      <c r="D36" s="113" t="s">
        <v>121</v>
      </c>
      <c r="E36" s="112" t="s">
        <v>122</v>
      </c>
      <c r="F36" s="112">
        <f>F34</f>
        <v>0.0193</v>
      </c>
      <c r="G36" s="136">
        <f>F36*G33</f>
        <v>3.8715800000000002</v>
      </c>
      <c r="H36" s="114">
        <v>7.51</v>
      </c>
      <c r="I36" s="114">
        <f t="shared" si="4"/>
        <v>29.0755658</v>
      </c>
      <c r="J36" s="116">
        <v>0</v>
      </c>
      <c r="K36" s="116">
        <f t="shared" si="5"/>
        <v>0</v>
      </c>
      <c r="L36" s="114">
        <f>25.61-H36</f>
        <v>18.1</v>
      </c>
      <c r="M36" s="114">
        <f t="shared" si="6"/>
        <v>70.07559800000001</v>
      </c>
      <c r="N36" s="114">
        <f t="shared" si="7"/>
        <v>99.1511638</v>
      </c>
    </row>
    <row r="37" spans="2:17" ht="15.75" customHeight="1">
      <c r="B37" s="156"/>
      <c r="C37" s="164" t="s">
        <v>123</v>
      </c>
      <c r="D37" s="165" t="s">
        <v>124</v>
      </c>
      <c r="E37" s="112" t="s">
        <v>125</v>
      </c>
      <c r="F37" s="112"/>
      <c r="G37" s="114">
        <f>6*30*1.02+2</f>
        <v>185.6</v>
      </c>
      <c r="H37" s="116">
        <v>0</v>
      </c>
      <c r="I37" s="116">
        <f t="shared" si="4"/>
        <v>0</v>
      </c>
      <c r="J37" s="166">
        <v>1.9</v>
      </c>
      <c r="K37" s="114">
        <f t="shared" si="5"/>
        <v>352.64</v>
      </c>
      <c r="L37" s="116">
        <v>0</v>
      </c>
      <c r="M37" s="116">
        <f t="shared" si="6"/>
        <v>0</v>
      </c>
      <c r="N37" s="114">
        <f t="shared" si="7"/>
        <v>352.64</v>
      </c>
      <c r="Q37">
        <f>306+180*2</f>
        <v>666</v>
      </c>
    </row>
    <row r="38" spans="2:17" ht="15.75" customHeight="1">
      <c r="B38" s="156"/>
      <c r="C38" s="167" t="s">
        <v>126</v>
      </c>
      <c r="D38" s="165" t="s">
        <v>127</v>
      </c>
      <c r="E38" s="112" t="s">
        <v>125</v>
      </c>
      <c r="F38" s="112"/>
      <c r="G38" s="114">
        <f>G12*Q38</f>
        <v>15</v>
      </c>
      <c r="H38" s="116">
        <v>0</v>
      </c>
      <c r="I38" s="116">
        <f t="shared" si="4"/>
        <v>0</v>
      </c>
      <c r="J38" s="168">
        <v>1.01</v>
      </c>
      <c r="K38" s="114">
        <f t="shared" si="5"/>
        <v>15.15</v>
      </c>
      <c r="L38" s="116">
        <v>0</v>
      </c>
      <c r="M38" s="116">
        <f t="shared" si="6"/>
        <v>0</v>
      </c>
      <c r="N38" s="114">
        <f t="shared" si="7"/>
        <v>15.15</v>
      </c>
      <c r="Q38">
        <v>2.5</v>
      </c>
    </row>
    <row r="39" spans="2:17" ht="15.75" customHeight="1">
      <c r="B39" s="156"/>
      <c r="C39" s="164"/>
      <c r="D39" s="113" t="s">
        <v>128</v>
      </c>
      <c r="E39" s="112" t="s">
        <v>16</v>
      </c>
      <c r="F39" s="112"/>
      <c r="G39" s="169">
        <f>Q39*G26</f>
        <v>12</v>
      </c>
      <c r="H39" s="116">
        <v>0</v>
      </c>
      <c r="I39" s="116">
        <f t="shared" si="4"/>
        <v>0</v>
      </c>
      <c r="J39" s="166">
        <v>4.65</v>
      </c>
      <c r="K39" s="114">
        <f t="shared" si="5"/>
        <v>55.800000000000004</v>
      </c>
      <c r="L39" s="116">
        <v>0</v>
      </c>
      <c r="M39" s="116">
        <f t="shared" si="6"/>
        <v>0</v>
      </c>
      <c r="N39" s="114">
        <f t="shared" si="7"/>
        <v>55.800000000000004</v>
      </c>
      <c r="Q39">
        <v>2</v>
      </c>
    </row>
    <row r="40" spans="2:17" ht="15.75" customHeight="1">
      <c r="B40" s="156"/>
      <c r="C40" s="164"/>
      <c r="D40" s="113" t="s">
        <v>55</v>
      </c>
      <c r="E40" s="112" t="s">
        <v>16</v>
      </c>
      <c r="F40" s="112"/>
      <c r="G40" s="169">
        <f>Q40*G26</f>
        <v>6</v>
      </c>
      <c r="H40" s="116">
        <v>0</v>
      </c>
      <c r="I40" s="116">
        <f t="shared" si="4"/>
        <v>0</v>
      </c>
      <c r="J40" s="166">
        <v>6.35</v>
      </c>
      <c r="K40" s="114">
        <f t="shared" si="5"/>
        <v>38.099999999999994</v>
      </c>
      <c r="L40" s="116">
        <v>0</v>
      </c>
      <c r="M40" s="116">
        <f t="shared" si="6"/>
        <v>0</v>
      </c>
      <c r="N40" s="114">
        <f t="shared" si="7"/>
        <v>38.099999999999994</v>
      </c>
      <c r="Q40">
        <v>1</v>
      </c>
    </row>
    <row r="41" spans="2:14" ht="15.75" customHeight="1" thickBot="1">
      <c r="B41" s="156"/>
      <c r="C41" s="164"/>
      <c r="D41" s="113" t="s">
        <v>56</v>
      </c>
      <c r="E41" s="112" t="s">
        <v>16</v>
      </c>
      <c r="F41" s="112"/>
      <c r="G41" s="169">
        <v>2</v>
      </c>
      <c r="H41" s="121">
        <v>0</v>
      </c>
      <c r="I41" s="121">
        <f t="shared" si="4"/>
        <v>0</v>
      </c>
      <c r="J41" s="170">
        <v>5.5</v>
      </c>
      <c r="K41" s="129">
        <f t="shared" si="5"/>
        <v>11</v>
      </c>
      <c r="L41" s="121">
        <v>0</v>
      </c>
      <c r="M41" s="121">
        <f t="shared" si="6"/>
        <v>0</v>
      </c>
      <c r="N41" s="129">
        <f t="shared" si="7"/>
        <v>11</v>
      </c>
    </row>
    <row r="42" spans="2:127" s="1" customFormat="1" ht="16.5" thickTop="1">
      <c r="B42" s="331" t="s">
        <v>58</v>
      </c>
      <c r="C42" s="332"/>
      <c r="D42" s="332"/>
      <c r="E42" s="332"/>
      <c r="F42" s="332"/>
      <c r="G42" s="333"/>
      <c r="H42" s="72"/>
      <c r="I42" s="171">
        <f>SUM(I13:I41)</f>
        <v>465.09117939999993</v>
      </c>
      <c r="J42" s="171"/>
      <c r="K42" s="171">
        <f>SUM(K13:K41)</f>
        <v>2798.4772936</v>
      </c>
      <c r="L42" s="171"/>
      <c r="M42" s="171">
        <f>SUM(M13:M41)</f>
        <v>333.44429463999995</v>
      </c>
      <c r="N42" s="171">
        <f>SUM(N13:N41)</f>
        <v>3597.01276764</v>
      </c>
      <c r="O42"/>
      <c r="P42"/>
      <c r="Q42" s="172">
        <f>M42+K42+I42</f>
        <v>3597.0127676399998</v>
      </c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</row>
    <row r="43" spans="2:127" s="1" customFormat="1" ht="15.75">
      <c r="B43" s="321" t="s">
        <v>129</v>
      </c>
      <c r="C43" s="321"/>
      <c r="D43" s="321"/>
      <c r="E43" s="321"/>
      <c r="F43" s="321"/>
      <c r="G43" s="321"/>
      <c r="H43" s="173">
        <v>0.03</v>
      </c>
      <c r="I43" s="171"/>
      <c r="J43" s="171"/>
      <c r="K43" s="171">
        <f>K42*H43</f>
        <v>83.954318808</v>
      </c>
      <c r="L43" s="171"/>
      <c r="M43" s="171"/>
      <c r="N43" s="171">
        <f>K43</f>
        <v>83.954318808</v>
      </c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</row>
    <row r="44" spans="2:127" s="1" customFormat="1" ht="15.75">
      <c r="B44" s="320" t="s">
        <v>7</v>
      </c>
      <c r="C44" s="320"/>
      <c r="D44" s="320"/>
      <c r="E44" s="320"/>
      <c r="F44" s="320"/>
      <c r="G44" s="320"/>
      <c r="H44" s="173"/>
      <c r="I44" s="171"/>
      <c r="J44" s="171"/>
      <c r="K44" s="171"/>
      <c r="L44" s="171"/>
      <c r="M44" s="171"/>
      <c r="N44" s="171">
        <f>SUM(N42:N43)</f>
        <v>3680.9670864480004</v>
      </c>
      <c r="O44"/>
      <c r="P44" t="s">
        <v>130</v>
      </c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</row>
    <row r="45" spans="2:127" s="1" customFormat="1" ht="15.75">
      <c r="B45" s="321" t="s">
        <v>131</v>
      </c>
      <c r="C45" s="321"/>
      <c r="D45" s="321"/>
      <c r="E45" s="321"/>
      <c r="F45" s="321"/>
      <c r="G45" s="321"/>
      <c r="H45" s="173">
        <v>0.1</v>
      </c>
      <c r="I45" s="171"/>
      <c r="J45" s="171"/>
      <c r="K45" s="171"/>
      <c r="L45" s="171"/>
      <c r="M45" s="171"/>
      <c r="N45" s="171">
        <f>N44*H45</f>
        <v>368.09670864480006</v>
      </c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</row>
    <row r="46" spans="2:127" s="1" customFormat="1" ht="15.75">
      <c r="B46" s="320" t="s">
        <v>7</v>
      </c>
      <c r="C46" s="320"/>
      <c r="D46" s="320"/>
      <c r="E46" s="320"/>
      <c r="F46" s="320"/>
      <c r="G46" s="320"/>
      <c r="I46" s="171"/>
      <c r="J46" s="171"/>
      <c r="K46" s="171"/>
      <c r="L46" s="171"/>
      <c r="M46" s="171"/>
      <c r="N46" s="171">
        <f>SUM(N44:N45)</f>
        <v>4049.0637950928003</v>
      </c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</row>
    <row r="47" spans="2:127" s="1" customFormat="1" ht="15.75">
      <c r="B47" s="321" t="s">
        <v>132</v>
      </c>
      <c r="C47" s="321"/>
      <c r="D47" s="321"/>
      <c r="E47" s="321"/>
      <c r="F47" s="321"/>
      <c r="G47" s="321"/>
      <c r="H47" s="173">
        <v>0.08</v>
      </c>
      <c r="I47" s="171"/>
      <c r="J47" s="171"/>
      <c r="K47" s="171"/>
      <c r="L47" s="171"/>
      <c r="M47" s="171"/>
      <c r="N47" s="171">
        <f>N46*H47</f>
        <v>323.92510360742403</v>
      </c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</row>
    <row r="48" spans="2:127" s="1" customFormat="1" ht="15.75">
      <c r="B48" s="320" t="s">
        <v>7</v>
      </c>
      <c r="C48" s="320"/>
      <c r="D48" s="320"/>
      <c r="E48" s="320"/>
      <c r="F48" s="320"/>
      <c r="G48" s="320"/>
      <c r="H48" s="173"/>
      <c r="I48" s="171"/>
      <c r="J48" s="171"/>
      <c r="K48" s="171"/>
      <c r="L48" s="171"/>
      <c r="M48" s="171"/>
      <c r="N48" s="171">
        <f>SUM(N46:N47)</f>
        <v>4372.988898700224</v>
      </c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</row>
    <row r="49" spans="2:127" s="1" customFormat="1" ht="15.75">
      <c r="B49" s="321" t="s">
        <v>133</v>
      </c>
      <c r="C49" s="321"/>
      <c r="D49" s="321"/>
      <c r="E49" s="321"/>
      <c r="F49" s="321"/>
      <c r="G49" s="321"/>
      <c r="H49" s="173">
        <v>0.03</v>
      </c>
      <c r="I49" s="171"/>
      <c r="J49" s="171"/>
      <c r="K49" s="171"/>
      <c r="L49" s="171"/>
      <c r="M49" s="171"/>
      <c r="N49" s="171">
        <f>N48*H49</f>
        <v>131.1896669610067</v>
      </c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</row>
    <row r="50" spans="2:127" s="1" customFormat="1" ht="15.75">
      <c r="B50" s="320" t="s">
        <v>7</v>
      </c>
      <c r="C50" s="320"/>
      <c r="D50" s="320"/>
      <c r="E50" s="320"/>
      <c r="F50" s="320"/>
      <c r="G50" s="320"/>
      <c r="H50" s="173"/>
      <c r="I50" s="171"/>
      <c r="J50" s="171"/>
      <c r="K50" s="171"/>
      <c r="L50" s="171"/>
      <c r="M50" s="171"/>
      <c r="N50" s="171">
        <f>SUM(N48:N49)</f>
        <v>4504.178565661231</v>
      </c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</row>
    <row r="51" spans="2:127" s="1" customFormat="1" ht="15.75">
      <c r="B51" s="321" t="s">
        <v>134</v>
      </c>
      <c r="C51" s="321"/>
      <c r="D51" s="321"/>
      <c r="E51" s="321"/>
      <c r="F51" s="321"/>
      <c r="G51" s="321"/>
      <c r="H51" s="173">
        <v>0.18</v>
      </c>
      <c r="I51" s="171"/>
      <c r="J51" s="171"/>
      <c r="K51" s="171"/>
      <c r="L51" s="171"/>
      <c r="M51" s="171"/>
      <c r="N51" s="171">
        <f>N50*H51</f>
        <v>810.7521418190215</v>
      </c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</row>
    <row r="52" spans="2:127" s="1" customFormat="1" ht="16.5">
      <c r="B52" s="320" t="s">
        <v>22</v>
      </c>
      <c r="C52" s="320"/>
      <c r="D52" s="320"/>
      <c r="E52" s="320"/>
      <c r="F52" s="320"/>
      <c r="G52" s="320"/>
      <c r="H52" s="174"/>
      <c r="I52" s="171"/>
      <c r="J52" s="171"/>
      <c r="K52" s="171"/>
      <c r="L52" s="171"/>
      <c r="M52" s="171"/>
      <c r="N52" s="171">
        <f>SUM(N50:N51)</f>
        <v>5314.930707480253</v>
      </c>
      <c r="O52"/>
      <c r="P52"/>
      <c r="Q52">
        <f>N52/G26</f>
        <v>885.8217845800422</v>
      </c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</row>
    <row r="53" spans="6:127" s="1" customFormat="1" ht="21">
      <c r="F53" s="175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</row>
    <row r="54" spans="2:127" s="1" customFormat="1" ht="21">
      <c r="B54" s="322" t="s">
        <v>135</v>
      </c>
      <c r="C54" s="322"/>
      <c r="D54" s="322"/>
      <c r="E54" s="322"/>
      <c r="F54" s="322"/>
      <c r="G54" s="2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</row>
    <row r="55" spans="2:127" s="1" customFormat="1" ht="21">
      <c r="B55" s="175"/>
      <c r="C55" s="176"/>
      <c r="D55" s="176"/>
      <c r="E55" s="176"/>
      <c r="F55" s="176"/>
      <c r="G55" s="2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</row>
    <row r="56" spans="2:127" s="1" customFormat="1" ht="16.5">
      <c r="B56" s="2"/>
      <c r="C56" s="323" t="s">
        <v>73</v>
      </c>
      <c r="D56" s="323"/>
      <c r="E56" s="323"/>
      <c r="F56" s="323"/>
      <c r="G56" s="2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</row>
    <row r="57" spans="6:127" s="1" customFormat="1" ht="13.5">
      <c r="F57" s="2"/>
      <c r="G57" s="2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</row>
  </sheetData>
  <sheetProtection/>
  <mergeCells count="43">
    <mergeCell ref="A1:N1"/>
    <mergeCell ref="B2:N2"/>
    <mergeCell ref="C3:D3"/>
    <mergeCell ref="E3:F3"/>
    <mergeCell ref="H3:J3"/>
    <mergeCell ref="C4:D4"/>
    <mergeCell ref="E4:F4"/>
    <mergeCell ref="B5:N5"/>
    <mergeCell ref="B7:B10"/>
    <mergeCell ref="C7:C10"/>
    <mergeCell ref="D7:D10"/>
    <mergeCell ref="E7:E10"/>
    <mergeCell ref="F7:G7"/>
    <mergeCell ref="H7:N7"/>
    <mergeCell ref="F8:F10"/>
    <mergeCell ref="G8:G10"/>
    <mergeCell ref="H8:I8"/>
    <mergeCell ref="J8:K8"/>
    <mergeCell ref="L8:M8"/>
    <mergeCell ref="N8:N10"/>
    <mergeCell ref="H9:H10"/>
    <mergeCell ref="I9:I10"/>
    <mergeCell ref="J9:J10"/>
    <mergeCell ref="K9:K10"/>
    <mergeCell ref="L9:L10"/>
    <mergeCell ref="M9:M10"/>
    <mergeCell ref="B49:G49"/>
    <mergeCell ref="C15:C16"/>
    <mergeCell ref="C18:C20"/>
    <mergeCell ref="C30:C31"/>
    <mergeCell ref="C33:C34"/>
    <mergeCell ref="B42:G42"/>
    <mergeCell ref="B43:G43"/>
    <mergeCell ref="B50:G50"/>
    <mergeCell ref="B51:G51"/>
    <mergeCell ref="B52:G52"/>
    <mergeCell ref="B54:F54"/>
    <mergeCell ref="C56:F56"/>
    <mergeCell ref="B44:G44"/>
    <mergeCell ref="B45:G45"/>
    <mergeCell ref="B46:G46"/>
    <mergeCell ref="B47:G47"/>
    <mergeCell ref="B48:G48"/>
  </mergeCells>
  <printOptions/>
  <pageMargins left="0.7086614173228347" right="0.21" top="0.31" bottom="0.3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DW6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0.6171875" style="0" customWidth="1"/>
    <col min="2" max="2" width="3.625" style="0" customWidth="1"/>
    <col min="3" max="3" width="10.375" style="0" customWidth="1"/>
    <col min="4" max="4" width="43.25390625" style="99" customWidth="1"/>
    <col min="5" max="5" width="7.375" style="0" customWidth="1"/>
    <col min="6" max="6" width="7.125" style="0" customWidth="1"/>
    <col min="7" max="7" width="8.375" style="0" customWidth="1"/>
    <col min="8" max="8" width="7.625" style="0" customWidth="1"/>
    <col min="9" max="9" width="8.375" style="0" customWidth="1"/>
    <col min="10" max="10" width="7.75390625" style="0" customWidth="1"/>
    <col min="11" max="11" width="9.00390625" style="0" customWidth="1"/>
    <col min="12" max="12" width="8.00390625" style="0" customWidth="1"/>
    <col min="13" max="13" width="8.375" style="0" customWidth="1"/>
    <col min="14" max="14" width="9.625" style="0" bestFit="1" customWidth="1"/>
    <col min="15" max="15" width="0.6171875" style="0" customWidth="1"/>
    <col min="19" max="19" width="11.25390625" style="0" customWidth="1"/>
  </cols>
  <sheetData>
    <row r="1" spans="1:125" s="1" customFormat="1" ht="25.5" customHeight="1">
      <c r="A1" s="348" t="s">
        <v>74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82"/>
      <c r="P1" s="82"/>
      <c r="Q1" s="83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</row>
    <row r="2" spans="2:126" s="98" customFormat="1" ht="18" customHeight="1">
      <c r="B2" s="349" t="s">
        <v>76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</row>
    <row r="3" spans="2:126" s="98" customFormat="1" ht="21.75" customHeight="1">
      <c r="B3" s="101"/>
      <c r="C3" s="350" t="s">
        <v>17</v>
      </c>
      <c r="D3" s="350"/>
      <c r="E3" s="363">
        <f>N59</f>
        <v>5173.300937657391</v>
      </c>
      <c r="F3" s="363"/>
      <c r="G3" s="102" t="s">
        <v>26</v>
      </c>
      <c r="H3" s="352" t="s">
        <v>19</v>
      </c>
      <c r="I3" s="352"/>
      <c r="J3" s="352"/>
      <c r="K3" s="103"/>
      <c r="L3" s="103"/>
      <c r="M3" s="103"/>
      <c r="N3" s="103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</row>
    <row r="4" spans="2:126" s="98" customFormat="1" ht="20.25" customHeight="1">
      <c r="B4" s="101"/>
      <c r="C4" s="350"/>
      <c r="D4" s="350"/>
      <c r="E4" s="353"/>
      <c r="F4" s="353"/>
      <c r="G4" s="102"/>
      <c r="H4" s="102"/>
      <c r="I4" s="182"/>
      <c r="J4" s="105"/>
      <c r="K4" s="103"/>
      <c r="L4" s="103"/>
      <c r="M4" s="103"/>
      <c r="N4" s="103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</row>
    <row r="5" spans="2:126" s="98" customFormat="1" ht="22.5" customHeight="1">
      <c r="B5" s="337" t="s">
        <v>79</v>
      </c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</row>
    <row r="6" spans="2:126" s="2" customFormat="1" ht="6" customHeight="1">
      <c r="B6" s="97"/>
      <c r="C6" s="97"/>
      <c r="D6" s="183"/>
      <c r="E6" s="97"/>
      <c r="F6" s="97"/>
      <c r="G6" s="97"/>
      <c r="H6" s="97"/>
      <c r="I6" s="97"/>
      <c r="J6" s="97"/>
      <c r="K6" s="97"/>
      <c r="L6" s="97"/>
      <c r="M6" s="97"/>
      <c r="N6" s="97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</row>
    <row r="7" spans="2:126" s="1" customFormat="1" ht="20.25" customHeight="1">
      <c r="B7" s="338" t="s">
        <v>0</v>
      </c>
      <c r="C7" s="336" t="s">
        <v>9</v>
      </c>
      <c r="D7" s="361" t="s">
        <v>1</v>
      </c>
      <c r="E7" s="336" t="s">
        <v>138</v>
      </c>
      <c r="F7" s="346" t="s">
        <v>2</v>
      </c>
      <c r="G7" s="346"/>
      <c r="H7" s="347" t="s">
        <v>33</v>
      </c>
      <c r="I7" s="347"/>
      <c r="J7" s="347"/>
      <c r="K7" s="347"/>
      <c r="L7" s="347"/>
      <c r="M7" s="347"/>
      <c r="N7" s="34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</row>
    <row r="8" spans="2:126" s="1" customFormat="1" ht="18.75" customHeight="1">
      <c r="B8" s="339"/>
      <c r="C8" s="341"/>
      <c r="D8" s="362"/>
      <c r="E8" s="341"/>
      <c r="F8" s="341" t="s">
        <v>12</v>
      </c>
      <c r="G8" s="341" t="s">
        <v>10</v>
      </c>
      <c r="H8" s="334" t="s">
        <v>13</v>
      </c>
      <c r="I8" s="334"/>
      <c r="J8" s="334" t="s">
        <v>14</v>
      </c>
      <c r="K8" s="334"/>
      <c r="L8" s="334" t="s">
        <v>15</v>
      </c>
      <c r="M8" s="334"/>
      <c r="N8" s="334" t="s">
        <v>7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</row>
    <row r="9" spans="2:126" s="1" customFormat="1" ht="20.25" customHeight="1">
      <c r="B9" s="339"/>
      <c r="C9" s="341"/>
      <c r="D9" s="362"/>
      <c r="E9" s="341"/>
      <c r="F9" s="341"/>
      <c r="G9" s="341"/>
      <c r="H9" s="335" t="s">
        <v>18</v>
      </c>
      <c r="I9" s="334" t="s">
        <v>3</v>
      </c>
      <c r="J9" s="335" t="s">
        <v>18</v>
      </c>
      <c r="K9" s="334" t="s">
        <v>3</v>
      </c>
      <c r="L9" s="335" t="s">
        <v>18</v>
      </c>
      <c r="M9" s="334" t="s">
        <v>3</v>
      </c>
      <c r="N9" s="334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</row>
    <row r="10" spans="2:126" s="1" customFormat="1" ht="42.75" customHeight="1">
      <c r="B10" s="340"/>
      <c r="C10" s="341"/>
      <c r="D10" s="362"/>
      <c r="E10" s="341"/>
      <c r="F10" s="341"/>
      <c r="G10" s="341"/>
      <c r="H10" s="336"/>
      <c r="I10" s="334"/>
      <c r="J10" s="336"/>
      <c r="K10" s="334"/>
      <c r="L10" s="336"/>
      <c r="M10" s="334"/>
      <c r="N10" s="334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</row>
    <row r="11" spans="2:126" s="1" customFormat="1" ht="14.25" thickBot="1">
      <c r="B11" s="106">
        <v>1</v>
      </c>
      <c r="C11" s="106">
        <v>2</v>
      </c>
      <c r="D11" s="184">
        <v>3</v>
      </c>
      <c r="E11" s="106">
        <v>4</v>
      </c>
      <c r="F11" s="106">
        <v>5</v>
      </c>
      <c r="G11" s="106">
        <v>6</v>
      </c>
      <c r="H11" s="106">
        <v>7</v>
      </c>
      <c r="I11" s="106">
        <v>8</v>
      </c>
      <c r="J11" s="106">
        <v>9</v>
      </c>
      <c r="K11" s="106">
        <v>10</v>
      </c>
      <c r="L11" s="106">
        <v>11</v>
      </c>
      <c r="M11" s="106">
        <v>12</v>
      </c>
      <c r="N11" s="106">
        <v>13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</row>
    <row r="12" spans="2:126" s="1" customFormat="1" ht="41.25" thickTop="1">
      <c r="B12" s="14">
        <v>1</v>
      </c>
      <c r="C12" s="185" t="s">
        <v>139</v>
      </c>
      <c r="D12" s="186" t="s">
        <v>140</v>
      </c>
      <c r="E12" s="108" t="s">
        <v>16</v>
      </c>
      <c r="F12" s="108"/>
      <c r="G12" s="108">
        <f>Q12</f>
        <v>6</v>
      </c>
      <c r="H12" s="109"/>
      <c r="I12" s="110"/>
      <c r="J12" s="110"/>
      <c r="K12" s="110"/>
      <c r="L12" s="110"/>
      <c r="M12" s="110"/>
      <c r="N12" s="111"/>
      <c r="O12"/>
      <c r="P12"/>
      <c r="Q12" s="187">
        <v>6</v>
      </c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</row>
    <row r="13" spans="2:126" s="1" customFormat="1" ht="16.5" customHeight="1">
      <c r="B13" s="14"/>
      <c r="C13" s="112"/>
      <c r="D13" s="188" t="s">
        <v>141</v>
      </c>
      <c r="E13" s="112" t="s">
        <v>30</v>
      </c>
      <c r="F13" s="112">
        <f>4.05*1.15</f>
        <v>4.6575</v>
      </c>
      <c r="G13" s="136">
        <f>F13*G12</f>
        <v>27.945</v>
      </c>
      <c r="H13" s="112">
        <v>4.6</v>
      </c>
      <c r="I13" s="115">
        <f aca="true" t="shared" si="0" ref="I13:I19">H13*G13</f>
        <v>128.547</v>
      </c>
      <c r="J13" s="116">
        <v>0</v>
      </c>
      <c r="K13" s="116">
        <f aca="true" t="shared" si="1" ref="K13:K19">G13*J13</f>
        <v>0</v>
      </c>
      <c r="L13" s="116">
        <v>0</v>
      </c>
      <c r="M13" s="116">
        <f aca="true" t="shared" si="2" ref="M13:M19">L13*G13</f>
        <v>0</v>
      </c>
      <c r="N13" s="114">
        <f aca="true" t="shared" si="3" ref="N13:N19">M13+K13+I13</f>
        <v>128.547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</row>
    <row r="14" spans="2:126" s="1" customFormat="1" ht="16.5" customHeight="1">
      <c r="B14" s="189"/>
      <c r="C14" s="112" t="s">
        <v>82</v>
      </c>
      <c r="D14" s="188" t="s">
        <v>142</v>
      </c>
      <c r="E14" s="112" t="s">
        <v>29</v>
      </c>
      <c r="F14" s="112">
        <f>0.447*1.15</f>
        <v>0.51405</v>
      </c>
      <c r="G14" s="136">
        <f>F14*G12</f>
        <v>3.0843</v>
      </c>
      <c r="H14" s="114">
        <v>7.95</v>
      </c>
      <c r="I14" s="114">
        <f t="shared" si="0"/>
        <v>24.520184999999998</v>
      </c>
      <c r="J14" s="125"/>
      <c r="K14" s="125">
        <f>J14*G14</f>
        <v>0</v>
      </c>
      <c r="L14" s="140">
        <f>26.95-H14</f>
        <v>19</v>
      </c>
      <c r="M14" s="115">
        <f t="shared" si="2"/>
        <v>58.601699999999994</v>
      </c>
      <c r="N14" s="140">
        <f t="shared" si="3"/>
        <v>83.12188499999999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</row>
    <row r="15" spans="2:17" ht="16.5" customHeight="1">
      <c r="B15" s="189"/>
      <c r="C15" s="227" t="s">
        <v>164</v>
      </c>
      <c r="D15" s="188" t="s">
        <v>165</v>
      </c>
      <c r="E15" s="112" t="s">
        <v>29</v>
      </c>
      <c r="F15" s="112">
        <v>0.04</v>
      </c>
      <c r="G15" s="114">
        <f>F15*G12</f>
        <v>0.24</v>
      </c>
      <c r="H15" s="114">
        <v>7.14</v>
      </c>
      <c r="I15" s="114">
        <f>H15*G15</f>
        <v>1.7135999999999998</v>
      </c>
      <c r="J15" s="125"/>
      <c r="K15" s="125">
        <f>J15*G15</f>
        <v>0</v>
      </c>
      <c r="L15" s="140">
        <f>32.22-H15</f>
        <v>25.08</v>
      </c>
      <c r="M15" s="115">
        <f>L15*G15</f>
        <v>6.0192</v>
      </c>
      <c r="N15" s="114">
        <f>M15+K15+I15</f>
        <v>7.732799999999999</v>
      </c>
      <c r="Q15">
        <f>1/8</f>
        <v>0.125</v>
      </c>
    </row>
    <row r="16" spans="2:14" ht="16.5" customHeight="1" thickBot="1">
      <c r="B16" s="190"/>
      <c r="C16" s="191"/>
      <c r="D16" s="192" t="s">
        <v>25</v>
      </c>
      <c r="E16" s="193" t="s">
        <v>26</v>
      </c>
      <c r="F16" s="193">
        <v>0.214</v>
      </c>
      <c r="G16" s="194">
        <f>F16*G12</f>
        <v>1.284</v>
      </c>
      <c r="H16" s="195">
        <v>0</v>
      </c>
      <c r="I16" s="195">
        <f t="shared" si="0"/>
        <v>0</v>
      </c>
      <c r="J16" s="118">
        <v>3.2</v>
      </c>
      <c r="K16" s="129">
        <f>J16*G16</f>
        <v>4.1088000000000005</v>
      </c>
      <c r="L16" s="121">
        <v>0</v>
      </c>
      <c r="M16" s="195">
        <f t="shared" si="2"/>
        <v>0</v>
      </c>
      <c r="N16" s="129">
        <f t="shared" si="3"/>
        <v>4.1088000000000005</v>
      </c>
    </row>
    <row r="17" spans="2:126" s="1" customFormat="1" ht="19.5" customHeight="1" thickTop="1">
      <c r="B17" s="124">
        <v>2</v>
      </c>
      <c r="C17" s="324" t="s">
        <v>143</v>
      </c>
      <c r="D17" s="186" t="s">
        <v>43</v>
      </c>
      <c r="E17" s="108" t="s">
        <v>84</v>
      </c>
      <c r="F17" s="108"/>
      <c r="G17" s="177">
        <f>G12*Q17</f>
        <v>1.1775</v>
      </c>
      <c r="H17" s="178"/>
      <c r="I17" s="179"/>
      <c r="J17" s="179"/>
      <c r="K17" s="179"/>
      <c r="L17" s="179"/>
      <c r="M17" s="179"/>
      <c r="N17" s="140">
        <f t="shared" si="3"/>
        <v>0</v>
      </c>
      <c r="O17"/>
      <c r="P17"/>
      <c r="Q17">
        <f>3.14*0.25*0.25*1</f>
        <v>0.19625</v>
      </c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</row>
    <row r="18" spans="2:126" s="1" customFormat="1" ht="19.5" customHeight="1">
      <c r="B18" s="12"/>
      <c r="C18" s="325"/>
      <c r="D18" s="188" t="s">
        <v>31</v>
      </c>
      <c r="E18" s="112" t="s">
        <v>30</v>
      </c>
      <c r="F18" s="112">
        <v>1.96</v>
      </c>
      <c r="G18" s="136">
        <f>F18*G17</f>
        <v>2.3079</v>
      </c>
      <c r="H18" s="112">
        <v>4.6</v>
      </c>
      <c r="I18" s="115">
        <f t="shared" si="0"/>
        <v>10.61634</v>
      </c>
      <c r="J18" s="116">
        <v>0</v>
      </c>
      <c r="K18" s="116">
        <f t="shared" si="1"/>
        <v>0</v>
      </c>
      <c r="L18" s="116">
        <v>0</v>
      </c>
      <c r="M18" s="116">
        <f t="shared" si="2"/>
        <v>0</v>
      </c>
      <c r="N18" s="140">
        <f t="shared" si="3"/>
        <v>10.61634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</row>
    <row r="19" spans="2:126" s="1" customFormat="1" ht="19.5" customHeight="1" thickBot="1">
      <c r="B19" s="128"/>
      <c r="C19" s="118" t="s">
        <v>85</v>
      </c>
      <c r="D19" s="196" t="s">
        <v>86</v>
      </c>
      <c r="E19" s="118" t="s">
        <v>87</v>
      </c>
      <c r="F19" s="118">
        <v>1.015</v>
      </c>
      <c r="G19" s="120">
        <f>F19*G17</f>
        <v>1.1951625</v>
      </c>
      <c r="H19" s="121">
        <v>0</v>
      </c>
      <c r="I19" s="121">
        <f t="shared" si="0"/>
        <v>0</v>
      </c>
      <c r="J19" s="130">
        <v>110</v>
      </c>
      <c r="K19" s="123">
        <f t="shared" si="1"/>
        <v>131.467875</v>
      </c>
      <c r="L19" s="121">
        <v>0</v>
      </c>
      <c r="M19" s="121">
        <f t="shared" si="2"/>
        <v>0</v>
      </c>
      <c r="N19" s="194">
        <f t="shared" si="3"/>
        <v>131.467875</v>
      </c>
      <c r="O19"/>
      <c r="P19" s="131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</row>
    <row r="20" spans="2:14" ht="27.75" thickTop="1">
      <c r="B20" s="132">
        <v>3</v>
      </c>
      <c r="C20" s="326" t="s">
        <v>28</v>
      </c>
      <c r="D20" s="197" t="s">
        <v>144</v>
      </c>
      <c r="E20" s="133" t="s">
        <v>16</v>
      </c>
      <c r="F20" s="133"/>
      <c r="G20" s="198">
        <f>Q12</f>
        <v>6</v>
      </c>
      <c r="H20" s="109"/>
      <c r="I20" s="110"/>
      <c r="J20" s="110"/>
      <c r="K20" s="110"/>
      <c r="L20" s="110"/>
      <c r="M20" s="110"/>
      <c r="N20" s="111"/>
    </row>
    <row r="21" spans="2:126" s="1" customFormat="1" ht="15.75" customHeight="1">
      <c r="B21" s="135"/>
      <c r="C21" s="327"/>
      <c r="D21" s="188" t="s">
        <v>31</v>
      </c>
      <c r="E21" s="112" t="s">
        <v>90</v>
      </c>
      <c r="F21" s="112">
        <v>1</v>
      </c>
      <c r="G21" s="169">
        <f>F21*G20</f>
        <v>6</v>
      </c>
      <c r="H21" s="126">
        <v>18.2</v>
      </c>
      <c r="I21" s="115">
        <f>H21*G21</f>
        <v>109.19999999999999</v>
      </c>
      <c r="J21" s="116">
        <v>0</v>
      </c>
      <c r="K21" s="116">
        <f>G21*J21</f>
        <v>0</v>
      </c>
      <c r="L21" s="116">
        <v>0</v>
      </c>
      <c r="M21" s="116">
        <f>L21*G21</f>
        <v>0</v>
      </c>
      <c r="N21" s="115">
        <f>I21</f>
        <v>109.19999999999999</v>
      </c>
      <c r="O21"/>
      <c r="P21"/>
      <c r="Q21">
        <f>N21/G20*0.8</f>
        <v>14.56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</row>
    <row r="22" spans="2:17" ht="27">
      <c r="B22" s="135"/>
      <c r="C22" s="328"/>
      <c r="D22" s="199" t="s">
        <v>145</v>
      </c>
      <c r="E22" s="181" t="s">
        <v>26</v>
      </c>
      <c r="F22" s="181">
        <v>1</v>
      </c>
      <c r="G22" s="146">
        <f>F22*G20</f>
        <v>6</v>
      </c>
      <c r="H22" s="116">
        <v>0</v>
      </c>
      <c r="I22" s="116">
        <f>H22*G22</f>
        <v>0</v>
      </c>
      <c r="J22" s="116">
        <v>0</v>
      </c>
      <c r="K22" s="116">
        <f>J22*G22</f>
        <v>0</v>
      </c>
      <c r="L22" s="181">
        <v>3.2</v>
      </c>
      <c r="M22" s="140">
        <f>L22*G22</f>
        <v>19.200000000000003</v>
      </c>
      <c r="N22" s="140">
        <f>M22+K22+I22</f>
        <v>19.200000000000003</v>
      </c>
      <c r="Q22">
        <f>N22/G20</f>
        <v>3.2000000000000006</v>
      </c>
    </row>
    <row r="23" spans="2:18" ht="19.5" customHeight="1">
      <c r="B23" s="135"/>
      <c r="C23" s="112" t="s">
        <v>91</v>
      </c>
      <c r="D23" s="188" t="s">
        <v>92</v>
      </c>
      <c r="E23" s="112" t="s">
        <v>93</v>
      </c>
      <c r="F23" s="112" t="s">
        <v>94</v>
      </c>
      <c r="G23" s="126">
        <f>G20*R23</f>
        <v>60</v>
      </c>
      <c r="H23" s="116">
        <v>0</v>
      </c>
      <c r="I23" s="116">
        <f>H23*G23</f>
        <v>0</v>
      </c>
      <c r="J23" s="114">
        <v>23.7</v>
      </c>
      <c r="K23" s="114">
        <f>J23*G23</f>
        <v>1422</v>
      </c>
      <c r="L23" s="116">
        <v>0</v>
      </c>
      <c r="M23" s="116">
        <f>L23*G23</f>
        <v>0</v>
      </c>
      <c r="N23" s="114">
        <f>M23+K23+I23</f>
        <v>1422</v>
      </c>
      <c r="Q23">
        <f>SUM(Q20:Q22)</f>
        <v>17.76</v>
      </c>
      <c r="R23" s="200">
        <v>10</v>
      </c>
    </row>
    <row r="24" spans="2:18" ht="19.5" customHeight="1">
      <c r="B24" s="135"/>
      <c r="C24" s="112" t="s">
        <v>95</v>
      </c>
      <c r="D24" s="188" t="s">
        <v>96</v>
      </c>
      <c r="E24" s="112" t="s">
        <v>93</v>
      </c>
      <c r="F24" s="112" t="s">
        <v>94</v>
      </c>
      <c r="G24" s="126">
        <f>G20*R24</f>
        <v>12</v>
      </c>
      <c r="H24" s="116">
        <v>0</v>
      </c>
      <c r="I24" s="116">
        <f>H24*G24</f>
        <v>0</v>
      </c>
      <c r="J24" s="114">
        <v>6.5</v>
      </c>
      <c r="K24" s="114">
        <f>J24*G24</f>
        <v>78</v>
      </c>
      <c r="L24" s="116">
        <v>0</v>
      </c>
      <c r="M24" s="116">
        <f>L24*G24</f>
        <v>0</v>
      </c>
      <c r="N24" s="114">
        <f>M24+K24+I24</f>
        <v>78</v>
      </c>
      <c r="R24" s="200">
        <v>2</v>
      </c>
    </row>
    <row r="25" spans="2:18" ht="19.5" customHeight="1">
      <c r="B25" s="135"/>
      <c r="C25" s="112" t="s">
        <v>97</v>
      </c>
      <c r="D25" s="188" t="s">
        <v>146</v>
      </c>
      <c r="E25" s="112" t="s">
        <v>93</v>
      </c>
      <c r="F25" s="112" t="s">
        <v>94</v>
      </c>
      <c r="G25" s="112">
        <f>G20*R25</f>
        <v>1.2000000000000002</v>
      </c>
      <c r="H25" s="116">
        <v>0</v>
      </c>
      <c r="I25" s="116">
        <f>H25*G25</f>
        <v>0</v>
      </c>
      <c r="J25" s="114">
        <v>5.3</v>
      </c>
      <c r="K25" s="114">
        <f>J25*G25</f>
        <v>6.36</v>
      </c>
      <c r="L25" s="116">
        <v>0</v>
      </c>
      <c r="M25" s="116">
        <f>L25*G25</f>
        <v>0</v>
      </c>
      <c r="N25" s="114">
        <f>M25+K25+I25</f>
        <v>6.36</v>
      </c>
      <c r="R25" s="201">
        <v>0.2</v>
      </c>
    </row>
    <row r="26" spans="2:126" s="1" customFormat="1" ht="28.5" customHeight="1">
      <c r="B26" s="203"/>
      <c r="C26" s="112" t="s">
        <v>99</v>
      </c>
      <c r="D26" s="188" t="s">
        <v>207</v>
      </c>
      <c r="E26" s="112" t="s">
        <v>101</v>
      </c>
      <c r="F26" s="112" t="s">
        <v>94</v>
      </c>
      <c r="G26" s="136">
        <f>G20*R26</f>
        <v>0.11921999999999999</v>
      </c>
      <c r="H26" s="116">
        <v>0</v>
      </c>
      <c r="I26" s="116">
        <f>G26*H26</f>
        <v>0</v>
      </c>
      <c r="J26" s="141">
        <v>27.1</v>
      </c>
      <c r="K26" s="115">
        <f>G26*J26</f>
        <v>3.230862</v>
      </c>
      <c r="L26" s="116">
        <v>0</v>
      </c>
      <c r="M26" s="116">
        <f>G26*L26</f>
        <v>0</v>
      </c>
      <c r="N26" s="115">
        <f>I26+K26+M26</f>
        <v>3.230862</v>
      </c>
      <c r="O26"/>
      <c r="P26"/>
      <c r="Q26"/>
      <c r="R26" s="201">
        <v>0.01987</v>
      </c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</row>
    <row r="27" spans="2:126" s="1" customFormat="1" ht="27">
      <c r="B27" s="228"/>
      <c r="C27" s="112" t="s">
        <v>102</v>
      </c>
      <c r="D27" s="188" t="s">
        <v>103</v>
      </c>
      <c r="E27" s="112" t="s">
        <v>104</v>
      </c>
      <c r="F27" s="112" t="s">
        <v>94</v>
      </c>
      <c r="G27" s="136">
        <f>G20*R27</f>
        <v>1.08</v>
      </c>
      <c r="H27" s="116">
        <v>0</v>
      </c>
      <c r="I27" s="116">
        <f>G27*H27</f>
        <v>0</v>
      </c>
      <c r="J27" s="144">
        <v>0.8</v>
      </c>
      <c r="K27" s="115">
        <f>G27*J27</f>
        <v>0.8640000000000001</v>
      </c>
      <c r="L27" s="116">
        <v>0</v>
      </c>
      <c r="M27" s="116">
        <f>G27*L27</f>
        <v>0</v>
      </c>
      <c r="N27" s="115">
        <f>I27+K27+M27</f>
        <v>0.8640000000000001</v>
      </c>
      <c r="O27"/>
      <c r="P27"/>
      <c r="Q27"/>
      <c r="R27" s="201">
        <v>0.18</v>
      </c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</row>
    <row r="28" spans="2:16" ht="15.75" customHeight="1">
      <c r="B28" s="202"/>
      <c r="C28" s="112" t="s">
        <v>108</v>
      </c>
      <c r="D28" s="188" t="s">
        <v>109</v>
      </c>
      <c r="E28" s="112" t="s">
        <v>110</v>
      </c>
      <c r="F28" s="112">
        <v>0.37</v>
      </c>
      <c r="G28" s="114">
        <f>F28*G20</f>
        <v>2.2199999999999998</v>
      </c>
      <c r="H28" s="116">
        <v>0</v>
      </c>
      <c r="I28" s="116">
        <f>H28*G28</f>
        <v>0</v>
      </c>
      <c r="J28" s="112">
        <v>2.4</v>
      </c>
      <c r="K28" s="114">
        <f>J28*G28</f>
        <v>5.327999999999999</v>
      </c>
      <c r="L28" s="116">
        <v>0</v>
      </c>
      <c r="M28" s="116">
        <f>L28*G28</f>
        <v>0</v>
      </c>
      <c r="N28" s="114">
        <f>M28+K28+I28</f>
        <v>5.327999999999999</v>
      </c>
      <c r="P28">
        <f>N28/7/0.15</f>
        <v>5.074285714285714</v>
      </c>
    </row>
    <row r="29" spans="2:16" ht="30" customHeight="1">
      <c r="B29" s="202"/>
      <c r="C29" s="162"/>
      <c r="D29" s="188" t="s">
        <v>147</v>
      </c>
      <c r="E29" s="112" t="s">
        <v>26</v>
      </c>
      <c r="F29" s="112">
        <v>0.25</v>
      </c>
      <c r="G29" s="114">
        <f>F29*G20</f>
        <v>1.5</v>
      </c>
      <c r="H29" s="116">
        <v>0</v>
      </c>
      <c r="I29" s="116">
        <f>H29*G29</f>
        <v>0</v>
      </c>
      <c r="J29" s="112">
        <v>3.2</v>
      </c>
      <c r="K29" s="114">
        <f>J29*G29</f>
        <v>4.800000000000001</v>
      </c>
      <c r="L29" s="116">
        <v>0</v>
      </c>
      <c r="M29" s="116">
        <f>L29*G29</f>
        <v>0</v>
      </c>
      <c r="N29" s="114">
        <f>M29+K29+I29</f>
        <v>4.800000000000001</v>
      </c>
      <c r="P29" s="131"/>
    </row>
    <row r="30" spans="2:18" ht="17.25" customHeight="1" thickBot="1">
      <c r="B30" s="204"/>
      <c r="C30" s="118" t="s">
        <v>148</v>
      </c>
      <c r="D30" s="192" t="s">
        <v>163</v>
      </c>
      <c r="E30" s="193" t="s">
        <v>107</v>
      </c>
      <c r="F30" s="193" t="s">
        <v>6</v>
      </c>
      <c r="G30" s="205">
        <f>G20*R30</f>
        <v>0.89184</v>
      </c>
      <c r="H30" s="195">
        <v>0</v>
      </c>
      <c r="I30" s="195">
        <f>H30*G30</f>
        <v>0</v>
      </c>
      <c r="J30" s="121">
        <v>0</v>
      </c>
      <c r="K30" s="121">
        <f>J30*G30</f>
        <v>0</v>
      </c>
      <c r="L30" s="193">
        <v>29.38</v>
      </c>
      <c r="M30" s="194">
        <f>L30*G30</f>
        <v>26.202259199999997</v>
      </c>
      <c r="N30" s="194">
        <f>M30+K30+I30</f>
        <v>26.202259199999997</v>
      </c>
      <c r="P30" s="131">
        <f>SUM(N21:N30)</f>
        <v>1675.1851212</v>
      </c>
      <c r="R30">
        <f>(10*14+2*4.32)/1000</f>
        <v>0.14864</v>
      </c>
    </row>
    <row r="31" spans="2:126" s="1" customFormat="1" ht="28.5" customHeight="1" thickTop="1">
      <c r="B31" s="124">
        <v>4</v>
      </c>
      <c r="C31" s="329" t="s">
        <v>111</v>
      </c>
      <c r="D31" s="206" t="s">
        <v>49</v>
      </c>
      <c r="E31" s="150" t="s">
        <v>112</v>
      </c>
      <c r="F31" s="150" t="s">
        <v>4</v>
      </c>
      <c r="G31" s="207">
        <f>G12*R31</f>
        <v>28.08</v>
      </c>
      <c r="H31" s="109"/>
      <c r="I31" s="110"/>
      <c r="J31" s="110"/>
      <c r="K31" s="110"/>
      <c r="L31" s="110"/>
      <c r="M31" s="110"/>
      <c r="N31" s="111"/>
      <c r="O31"/>
      <c r="P31"/>
      <c r="R31" s="208">
        <v>4.68</v>
      </c>
      <c r="S31" s="209">
        <f>3.14*0.139*10+3.14*0.05*2+3.14*0.06*0.06</f>
        <v>4.689904000000001</v>
      </c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</row>
    <row r="32" spans="2:126" s="1" customFormat="1" ht="17.25" customHeight="1">
      <c r="B32" s="12"/>
      <c r="C32" s="330"/>
      <c r="D32" s="188" t="s">
        <v>31</v>
      </c>
      <c r="E32" s="112" t="s">
        <v>30</v>
      </c>
      <c r="F32" s="112">
        <v>0.388</v>
      </c>
      <c r="G32" s="136">
        <f>G31*F32</f>
        <v>10.89504</v>
      </c>
      <c r="H32" s="112">
        <v>3.2</v>
      </c>
      <c r="I32" s="115">
        <f>G32*H32</f>
        <v>34.864128</v>
      </c>
      <c r="J32" s="116">
        <v>0</v>
      </c>
      <c r="K32" s="116">
        <f>G32*J32</f>
        <v>0</v>
      </c>
      <c r="L32" s="116">
        <v>0</v>
      </c>
      <c r="M32" s="116">
        <f>G32*L32</f>
        <v>0</v>
      </c>
      <c r="N32" s="115">
        <f>I32+K32+M32</f>
        <v>34.864128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</row>
    <row r="33" spans="2:126" s="1" customFormat="1" ht="19.5" customHeight="1" thickBot="1">
      <c r="B33" s="128"/>
      <c r="C33" s="151" t="s">
        <v>113</v>
      </c>
      <c r="D33" s="210" t="s">
        <v>149</v>
      </c>
      <c r="E33" s="153" t="s">
        <v>5</v>
      </c>
      <c r="F33" s="154">
        <v>0.25</v>
      </c>
      <c r="G33" s="211">
        <f>G31*F33</f>
        <v>7.02</v>
      </c>
      <c r="H33" s="121">
        <v>0</v>
      </c>
      <c r="I33" s="121">
        <f>G33*H33</f>
        <v>0</v>
      </c>
      <c r="J33" s="155">
        <v>15</v>
      </c>
      <c r="K33" s="123">
        <f>G33*J33</f>
        <v>105.3</v>
      </c>
      <c r="L33" s="121">
        <v>0</v>
      </c>
      <c r="M33" s="121">
        <f>G33*L33</f>
        <v>0</v>
      </c>
      <c r="N33" s="123">
        <f>I33+K33+M33</f>
        <v>105.3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</row>
    <row r="34" spans="2:14" ht="27.75" thickTop="1">
      <c r="B34" s="156">
        <v>5</v>
      </c>
      <c r="C34" s="360" t="s">
        <v>150</v>
      </c>
      <c r="D34" s="197" t="s">
        <v>151</v>
      </c>
      <c r="E34" s="133" t="s">
        <v>16</v>
      </c>
      <c r="F34" s="133"/>
      <c r="G34" s="198">
        <f>Q12</f>
        <v>6</v>
      </c>
      <c r="H34" s="159"/>
      <c r="I34" s="160"/>
      <c r="J34" s="160"/>
      <c r="K34" s="160"/>
      <c r="L34" s="160"/>
      <c r="M34" s="160"/>
      <c r="N34" s="161"/>
    </row>
    <row r="35" spans="2:20" ht="15.75">
      <c r="B35" s="156"/>
      <c r="C35" s="328"/>
      <c r="D35" s="188" t="s">
        <v>152</v>
      </c>
      <c r="E35" s="112" t="s">
        <v>118</v>
      </c>
      <c r="F35" s="112">
        <v>1.68</v>
      </c>
      <c r="G35" s="136">
        <f>F35*G34</f>
        <v>10.08</v>
      </c>
      <c r="H35" s="112">
        <v>4.6</v>
      </c>
      <c r="I35" s="114">
        <f>H35*G35</f>
        <v>46.367999999999995</v>
      </c>
      <c r="J35" s="116">
        <v>0</v>
      </c>
      <c r="K35" s="116">
        <f>J35*G35</f>
        <v>0</v>
      </c>
      <c r="L35" s="116">
        <v>0</v>
      </c>
      <c r="M35" s="116">
        <f>L35*G35</f>
        <v>0</v>
      </c>
      <c r="N35" s="114">
        <f>M35+K35+I35</f>
        <v>46.367999999999995</v>
      </c>
      <c r="R35">
        <f>34.4/1000</f>
        <v>0.0344</v>
      </c>
      <c r="T35" s="212" t="s">
        <v>153</v>
      </c>
    </row>
    <row r="36" spans="2:20" ht="44.25" customHeight="1">
      <c r="B36" s="145"/>
      <c r="C36" s="112" t="s">
        <v>32</v>
      </c>
      <c r="D36" s="188" t="s">
        <v>154</v>
      </c>
      <c r="E36" s="112" t="s">
        <v>16</v>
      </c>
      <c r="F36" s="112">
        <v>1</v>
      </c>
      <c r="G36" s="169">
        <f>F36*G34</f>
        <v>6</v>
      </c>
      <c r="H36" s="116">
        <v>0</v>
      </c>
      <c r="I36" s="116">
        <f>H36*G36</f>
        <v>0</v>
      </c>
      <c r="J36" s="114">
        <v>95</v>
      </c>
      <c r="K36" s="114">
        <f>J36*G36</f>
        <v>570</v>
      </c>
      <c r="L36" s="116">
        <v>0</v>
      </c>
      <c r="M36" s="116">
        <f>L36*G36</f>
        <v>0</v>
      </c>
      <c r="N36" s="114">
        <f>M36+K36+I36</f>
        <v>570</v>
      </c>
      <c r="T36" s="213">
        <f>N43+N37+N14</f>
        <v>284.0953356</v>
      </c>
    </row>
    <row r="37" spans="2:14" ht="16.5" customHeight="1">
      <c r="B37" s="145"/>
      <c r="C37" s="163" t="s">
        <v>120</v>
      </c>
      <c r="D37" s="188" t="s">
        <v>121</v>
      </c>
      <c r="E37" s="181" t="s">
        <v>107</v>
      </c>
      <c r="F37" s="139">
        <v>0.335</v>
      </c>
      <c r="G37" s="139">
        <f>F37*G34</f>
        <v>2.0100000000000002</v>
      </c>
      <c r="H37" s="114">
        <v>7.51</v>
      </c>
      <c r="I37" s="114">
        <f>H37*G37</f>
        <v>15.095100000000002</v>
      </c>
      <c r="J37" s="116">
        <v>0</v>
      </c>
      <c r="K37" s="116">
        <f>J37*G37</f>
        <v>0</v>
      </c>
      <c r="L37" s="114">
        <f>25.61-H37</f>
        <v>18.1</v>
      </c>
      <c r="M37" s="114">
        <f>L37*G37</f>
        <v>36.38100000000001</v>
      </c>
      <c r="N37" s="114">
        <f>M37+K37+I37</f>
        <v>51.47610000000001</v>
      </c>
    </row>
    <row r="38" spans="2:14" ht="17.25" customHeight="1" thickBot="1">
      <c r="B38" s="147"/>
      <c r="C38" s="148"/>
      <c r="D38" s="196" t="s">
        <v>25</v>
      </c>
      <c r="E38" s="118" t="s">
        <v>26</v>
      </c>
      <c r="F38" s="118">
        <v>0.16</v>
      </c>
      <c r="G38" s="129">
        <f>F38*G34</f>
        <v>0.96</v>
      </c>
      <c r="H38" s="121">
        <v>0</v>
      </c>
      <c r="I38" s="121">
        <f>H38*G38</f>
        <v>0</v>
      </c>
      <c r="J38" s="118">
        <v>3.2</v>
      </c>
      <c r="K38" s="129">
        <f>J38*G38</f>
        <v>3.072</v>
      </c>
      <c r="L38" s="121">
        <v>0</v>
      </c>
      <c r="M38" s="121">
        <f>L38*G38</f>
        <v>0</v>
      </c>
      <c r="N38" s="129">
        <f>M38+K38+I38</f>
        <v>3.072</v>
      </c>
    </row>
    <row r="39" spans="2:17" ht="27.75" customHeight="1" thickTop="1">
      <c r="B39" s="156">
        <v>5</v>
      </c>
      <c r="C39" s="326" t="s">
        <v>155</v>
      </c>
      <c r="D39" s="197" t="s">
        <v>116</v>
      </c>
      <c r="E39" s="133" t="s">
        <v>125</v>
      </c>
      <c r="F39" s="133"/>
      <c r="G39" s="158">
        <f>G45+G44</f>
        <v>200.6</v>
      </c>
      <c r="H39" s="159"/>
      <c r="I39" s="160"/>
      <c r="J39" s="160"/>
      <c r="K39" s="160"/>
      <c r="L39" s="160"/>
      <c r="M39" s="160"/>
      <c r="N39" s="161"/>
      <c r="Q39">
        <f>34.6/100</f>
        <v>0.34600000000000003</v>
      </c>
    </row>
    <row r="40" spans="2:19" ht="17.25" customHeight="1">
      <c r="B40" s="156"/>
      <c r="C40" s="327"/>
      <c r="D40" s="188" t="s">
        <v>156</v>
      </c>
      <c r="E40" s="112" t="s">
        <v>118</v>
      </c>
      <c r="F40" s="136">
        <f>(34.4+1.48*20)/1000</f>
        <v>0.064</v>
      </c>
      <c r="G40" s="136">
        <f>F40*G39</f>
        <v>12.8384</v>
      </c>
      <c r="H40" s="112">
        <v>4.6</v>
      </c>
      <c r="I40" s="114">
        <f>H40*G40</f>
        <v>59.056639999999994</v>
      </c>
      <c r="J40" s="116">
        <v>0</v>
      </c>
      <c r="K40" s="116">
        <f>J40*G40</f>
        <v>0</v>
      </c>
      <c r="L40" s="116">
        <v>0</v>
      </c>
      <c r="M40" s="116">
        <f>L40*G40</f>
        <v>0</v>
      </c>
      <c r="N40" s="114">
        <f>M40+K40+I40</f>
        <v>59.056639999999994</v>
      </c>
      <c r="S40">
        <f>N40/G34</f>
        <v>9.842773333333332</v>
      </c>
    </row>
    <row r="41" spans="2:14" ht="17.25" customHeight="1">
      <c r="B41" s="156"/>
      <c r="C41" s="327"/>
      <c r="D41" s="188" t="s">
        <v>25</v>
      </c>
      <c r="E41" s="112" t="s">
        <v>26</v>
      </c>
      <c r="F41" s="136">
        <v>0.006</v>
      </c>
      <c r="G41" s="136">
        <f>F41*G39</f>
        <v>1.2036</v>
      </c>
      <c r="H41" s="116">
        <v>0</v>
      </c>
      <c r="I41" s="116">
        <f aca="true" t="shared" si="4" ref="I41:I47">H41*G41</f>
        <v>0</v>
      </c>
      <c r="J41" s="112">
        <v>3.2</v>
      </c>
      <c r="K41" s="136">
        <f aca="true" t="shared" si="5" ref="K41:K47">J41*G41</f>
        <v>3.8515200000000003</v>
      </c>
      <c r="L41" s="116"/>
      <c r="M41" s="116">
        <f aca="true" t="shared" si="6" ref="M41:M47">L41*G41</f>
        <v>0</v>
      </c>
      <c r="N41" s="114">
        <f aca="true" t="shared" si="7" ref="N41:N47">M41+K41+I41</f>
        <v>3.8515200000000003</v>
      </c>
    </row>
    <row r="42" spans="2:14" ht="17.25" customHeight="1">
      <c r="B42" s="156"/>
      <c r="C42" s="328"/>
      <c r="D42" s="188" t="s">
        <v>157</v>
      </c>
      <c r="E42" s="112" t="s">
        <v>26</v>
      </c>
      <c r="F42" s="136">
        <f>0.0032+20*0.09/1000</f>
        <v>0.005</v>
      </c>
      <c r="G42" s="136">
        <f>F42*G39</f>
        <v>1.003</v>
      </c>
      <c r="H42" s="116">
        <v>0</v>
      </c>
      <c r="I42" s="116">
        <f t="shared" si="4"/>
        <v>0</v>
      </c>
      <c r="J42" s="116">
        <v>0</v>
      </c>
      <c r="K42" s="116">
        <f t="shared" si="5"/>
        <v>0</v>
      </c>
      <c r="L42" s="112">
        <v>3.2</v>
      </c>
      <c r="M42" s="114">
        <f t="shared" si="6"/>
        <v>3.2096</v>
      </c>
      <c r="N42" s="114">
        <f t="shared" si="7"/>
        <v>3.2096</v>
      </c>
    </row>
    <row r="43" spans="2:19" ht="27">
      <c r="B43" s="156"/>
      <c r="C43" s="163" t="s">
        <v>120</v>
      </c>
      <c r="D43" s="188" t="s">
        <v>158</v>
      </c>
      <c r="E43" s="112" t="s">
        <v>122</v>
      </c>
      <c r="F43" s="214">
        <f>(12.7+0.82*20)/1000</f>
        <v>0.029099999999999997</v>
      </c>
      <c r="G43" s="136">
        <f>F43*G39</f>
        <v>5.837459999999999</v>
      </c>
      <c r="H43" s="114">
        <v>7.51</v>
      </c>
      <c r="I43" s="114">
        <f t="shared" si="4"/>
        <v>43.83932459999999</v>
      </c>
      <c r="J43" s="116">
        <v>0</v>
      </c>
      <c r="K43" s="116">
        <f t="shared" si="5"/>
        <v>0</v>
      </c>
      <c r="L43" s="114">
        <f>25.61-H43</f>
        <v>18.1</v>
      </c>
      <c r="M43" s="114">
        <f t="shared" si="6"/>
        <v>105.65802599999999</v>
      </c>
      <c r="N43" s="114">
        <f t="shared" si="7"/>
        <v>149.49735059999998</v>
      </c>
      <c r="S43">
        <f>N43/G34</f>
        <v>24.916225099999995</v>
      </c>
    </row>
    <row r="44" spans="2:14" ht="15.75" customHeight="1">
      <c r="B44" s="156"/>
      <c r="C44" s="164" t="s">
        <v>123</v>
      </c>
      <c r="D44" s="215" t="s">
        <v>124</v>
      </c>
      <c r="E44" s="112" t="s">
        <v>125</v>
      </c>
      <c r="F44" s="112" t="s">
        <v>94</v>
      </c>
      <c r="G44" s="114">
        <f>G12*30*1.02+2</f>
        <v>185.6</v>
      </c>
      <c r="H44" s="116">
        <v>0</v>
      </c>
      <c r="I44" s="116">
        <f t="shared" si="4"/>
        <v>0</v>
      </c>
      <c r="J44" s="166">
        <v>1.9</v>
      </c>
      <c r="K44" s="114">
        <f t="shared" si="5"/>
        <v>352.64</v>
      </c>
      <c r="L44" s="116">
        <v>0</v>
      </c>
      <c r="M44" s="116">
        <f t="shared" si="6"/>
        <v>0</v>
      </c>
      <c r="N44" s="114">
        <f t="shared" si="7"/>
        <v>352.64</v>
      </c>
    </row>
    <row r="45" spans="2:17" ht="16.5" customHeight="1">
      <c r="B45" s="156"/>
      <c r="C45" s="167" t="s">
        <v>126</v>
      </c>
      <c r="D45" s="215" t="s">
        <v>127</v>
      </c>
      <c r="E45" s="112" t="s">
        <v>125</v>
      </c>
      <c r="F45" s="112" t="s">
        <v>94</v>
      </c>
      <c r="G45" s="114">
        <f>G12*Q45</f>
        <v>15</v>
      </c>
      <c r="H45" s="116">
        <v>0</v>
      </c>
      <c r="I45" s="116">
        <f t="shared" si="4"/>
        <v>0</v>
      </c>
      <c r="J45" s="168">
        <v>1.01</v>
      </c>
      <c r="K45" s="136">
        <f t="shared" si="5"/>
        <v>15.15</v>
      </c>
      <c r="L45" s="116">
        <v>0</v>
      </c>
      <c r="M45" s="116">
        <f t="shared" si="6"/>
        <v>0</v>
      </c>
      <c r="N45" s="114">
        <f t="shared" si="7"/>
        <v>15.15</v>
      </c>
      <c r="Q45" s="208">
        <v>2.5</v>
      </c>
    </row>
    <row r="46" spans="2:17" ht="16.5" customHeight="1">
      <c r="B46" s="156"/>
      <c r="C46" s="164"/>
      <c r="D46" s="188" t="s">
        <v>128</v>
      </c>
      <c r="E46" s="112" t="s">
        <v>16</v>
      </c>
      <c r="F46" s="112" t="s">
        <v>94</v>
      </c>
      <c r="G46" s="169">
        <f>G12*Q46</f>
        <v>12</v>
      </c>
      <c r="H46" s="116">
        <v>0</v>
      </c>
      <c r="I46" s="116">
        <f t="shared" si="4"/>
        <v>0</v>
      </c>
      <c r="J46" s="166">
        <v>4.65</v>
      </c>
      <c r="K46" s="114">
        <f t="shared" si="5"/>
        <v>55.800000000000004</v>
      </c>
      <c r="L46" s="116">
        <v>0</v>
      </c>
      <c r="M46" s="116">
        <f t="shared" si="6"/>
        <v>0</v>
      </c>
      <c r="N46" s="114">
        <f t="shared" si="7"/>
        <v>55.800000000000004</v>
      </c>
      <c r="Q46" s="208">
        <v>2</v>
      </c>
    </row>
    <row r="47" spans="2:20" ht="16.5" customHeight="1">
      <c r="B47" s="156"/>
      <c r="C47" s="164"/>
      <c r="D47" s="188" t="s">
        <v>55</v>
      </c>
      <c r="E47" s="112" t="s">
        <v>16</v>
      </c>
      <c r="F47" s="112" t="s">
        <v>94</v>
      </c>
      <c r="G47" s="169">
        <f>G12*Q47</f>
        <v>6</v>
      </c>
      <c r="H47" s="116">
        <v>0</v>
      </c>
      <c r="I47" s="116">
        <f t="shared" si="4"/>
        <v>0</v>
      </c>
      <c r="J47" s="166">
        <v>6.35</v>
      </c>
      <c r="K47" s="114">
        <f t="shared" si="5"/>
        <v>38.099999999999994</v>
      </c>
      <c r="L47" s="116">
        <v>0</v>
      </c>
      <c r="M47" s="116">
        <f t="shared" si="6"/>
        <v>0</v>
      </c>
      <c r="N47" s="114">
        <f t="shared" si="7"/>
        <v>38.099999999999994</v>
      </c>
      <c r="Q47" s="208">
        <v>1</v>
      </c>
      <c r="S47" s="209"/>
      <c r="T47" s="216" t="s">
        <v>159</v>
      </c>
    </row>
    <row r="48" spans="2:21" ht="16.5" customHeight="1" thickBot="1">
      <c r="B48" s="156"/>
      <c r="C48" s="164"/>
      <c r="D48" s="196" t="s">
        <v>56</v>
      </c>
      <c r="E48" s="118" t="s">
        <v>16</v>
      </c>
      <c r="F48" s="118" t="s">
        <v>94</v>
      </c>
      <c r="G48" s="217">
        <v>4</v>
      </c>
      <c r="H48" s="121">
        <v>0</v>
      </c>
      <c r="I48" s="121">
        <f>H48*G48</f>
        <v>0</v>
      </c>
      <c r="J48" s="170">
        <v>5.5</v>
      </c>
      <c r="K48" s="129">
        <f>J48*G48</f>
        <v>22</v>
      </c>
      <c r="L48" s="121">
        <v>0</v>
      </c>
      <c r="M48" s="121">
        <f>L48*G48</f>
        <v>0</v>
      </c>
      <c r="N48" s="129">
        <f>M48+K48+I48</f>
        <v>22</v>
      </c>
      <c r="S48" s="209" t="s">
        <v>160</v>
      </c>
      <c r="T48" s="218">
        <v>0.458</v>
      </c>
      <c r="U48">
        <f>T48*G39</f>
        <v>91.87480000000001</v>
      </c>
    </row>
    <row r="49" spans="2:127" s="1" customFormat="1" ht="16.5" customHeight="1" thickTop="1">
      <c r="B49" s="356" t="s">
        <v>58</v>
      </c>
      <c r="C49" s="357"/>
      <c r="D49" s="358"/>
      <c r="E49" s="358"/>
      <c r="F49" s="358"/>
      <c r="G49" s="359"/>
      <c r="H49" s="219"/>
      <c r="I49" s="171">
        <f>SUM(I13:I48)</f>
        <v>473.8203176</v>
      </c>
      <c r="J49" s="171"/>
      <c r="K49" s="171">
        <f>SUM(K13:K48)</f>
        <v>2822.073057</v>
      </c>
      <c r="L49" s="171"/>
      <c r="M49" s="171">
        <f>SUM(M13:M48)</f>
        <v>255.2717852</v>
      </c>
      <c r="N49" s="171">
        <f>SUM(N13:N48)</f>
        <v>3551.1651598000003</v>
      </c>
      <c r="O49"/>
      <c r="P49"/>
      <c r="Q49"/>
      <c r="R49"/>
      <c r="S49" s="209" t="s">
        <v>161</v>
      </c>
      <c r="T49" s="218">
        <v>0.673</v>
      </c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</row>
    <row r="50" spans="2:127" s="1" customFormat="1" ht="16.5" customHeight="1">
      <c r="B50" s="355" t="s">
        <v>129</v>
      </c>
      <c r="C50" s="355"/>
      <c r="D50" s="355"/>
      <c r="E50" s="355"/>
      <c r="F50" s="355"/>
      <c r="G50" s="355"/>
      <c r="H50" s="220">
        <v>0.03</v>
      </c>
      <c r="I50" s="221"/>
      <c r="J50" s="221"/>
      <c r="K50" s="221">
        <f>K49*H50</f>
        <v>84.66219171</v>
      </c>
      <c r="L50" s="221"/>
      <c r="M50" s="221"/>
      <c r="N50" s="221">
        <f>K50</f>
        <v>84.66219171</v>
      </c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</row>
    <row r="51" spans="2:127" s="1" customFormat="1" ht="16.5" customHeight="1">
      <c r="B51" s="354" t="s">
        <v>7</v>
      </c>
      <c r="C51" s="354"/>
      <c r="D51" s="354"/>
      <c r="E51" s="354"/>
      <c r="F51" s="354"/>
      <c r="G51" s="354"/>
      <c r="H51" s="222"/>
      <c r="I51" s="221"/>
      <c r="J51" s="221"/>
      <c r="K51" s="221"/>
      <c r="L51" s="221"/>
      <c r="M51" s="221"/>
      <c r="N51" s="221">
        <f>SUM(N49:N50)</f>
        <v>3635.8273515100004</v>
      </c>
      <c r="O51"/>
      <c r="P51" t="s">
        <v>130</v>
      </c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</row>
    <row r="52" spans="2:127" s="1" customFormat="1" ht="16.5" customHeight="1">
      <c r="B52" s="355" t="s">
        <v>131</v>
      </c>
      <c r="C52" s="355"/>
      <c r="D52" s="355"/>
      <c r="E52" s="355"/>
      <c r="F52" s="355"/>
      <c r="G52" s="355"/>
      <c r="H52" s="220">
        <v>0.1</v>
      </c>
      <c r="I52" s="221"/>
      <c r="J52" s="221"/>
      <c r="K52" s="221"/>
      <c r="L52" s="221"/>
      <c r="M52" s="221"/>
      <c r="N52" s="221">
        <f>N51*H52</f>
        <v>363.58273515100007</v>
      </c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</row>
    <row r="53" spans="2:127" s="1" customFormat="1" ht="16.5" customHeight="1">
      <c r="B53" s="354" t="s">
        <v>7</v>
      </c>
      <c r="C53" s="354"/>
      <c r="D53" s="354"/>
      <c r="E53" s="354"/>
      <c r="F53" s="354"/>
      <c r="G53" s="354"/>
      <c r="H53" s="223"/>
      <c r="I53" s="221"/>
      <c r="J53" s="221"/>
      <c r="K53" s="221"/>
      <c r="L53" s="221"/>
      <c r="M53" s="221"/>
      <c r="N53" s="221">
        <f>SUM(N51:N52)</f>
        <v>3999.4100866610006</v>
      </c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</row>
    <row r="54" spans="2:127" s="1" customFormat="1" ht="16.5" customHeight="1">
      <c r="B54" s="355" t="s">
        <v>132</v>
      </c>
      <c r="C54" s="355"/>
      <c r="D54" s="355"/>
      <c r="E54" s="355"/>
      <c r="F54" s="355"/>
      <c r="G54" s="355"/>
      <c r="H54" s="220">
        <v>0.08</v>
      </c>
      <c r="I54" s="221"/>
      <c r="J54" s="221"/>
      <c r="K54" s="221"/>
      <c r="L54" s="221"/>
      <c r="M54" s="221"/>
      <c r="N54" s="221">
        <f>N53*H54</f>
        <v>319.95280693288004</v>
      </c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</row>
    <row r="55" spans="2:127" s="1" customFormat="1" ht="16.5" customHeight="1">
      <c r="B55" s="354" t="s">
        <v>7</v>
      </c>
      <c r="C55" s="354"/>
      <c r="D55" s="354"/>
      <c r="E55" s="354"/>
      <c r="F55" s="354"/>
      <c r="G55" s="354"/>
      <c r="H55" s="220"/>
      <c r="I55" s="221"/>
      <c r="J55" s="221"/>
      <c r="K55" s="221"/>
      <c r="L55" s="221"/>
      <c r="M55" s="221"/>
      <c r="N55" s="221">
        <f>SUM(N53:N54)</f>
        <v>4319.3628935938805</v>
      </c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</row>
    <row r="56" spans="2:127" s="1" customFormat="1" ht="16.5" customHeight="1">
      <c r="B56" s="355" t="s">
        <v>133</v>
      </c>
      <c r="C56" s="355"/>
      <c r="D56" s="355"/>
      <c r="E56" s="355"/>
      <c r="F56" s="355"/>
      <c r="G56" s="355"/>
      <c r="H56" s="220">
        <v>0.015</v>
      </c>
      <c r="I56" s="221"/>
      <c r="J56" s="221"/>
      <c r="K56" s="221"/>
      <c r="L56" s="221"/>
      <c r="M56" s="221"/>
      <c r="N56" s="221">
        <f>N55*H56</f>
        <v>64.7904434039082</v>
      </c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</row>
    <row r="57" spans="2:127" s="1" customFormat="1" ht="16.5" customHeight="1">
      <c r="B57" s="354" t="s">
        <v>7</v>
      </c>
      <c r="C57" s="354"/>
      <c r="D57" s="354"/>
      <c r="E57" s="354"/>
      <c r="F57" s="354"/>
      <c r="G57" s="354"/>
      <c r="H57" s="220"/>
      <c r="I57" s="221"/>
      <c r="J57" s="221"/>
      <c r="K57" s="221"/>
      <c r="L57" s="221"/>
      <c r="M57" s="221"/>
      <c r="N57" s="221">
        <f>SUM(N55:N56)</f>
        <v>4384.153336997789</v>
      </c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</row>
    <row r="58" spans="2:127" s="1" customFormat="1" ht="16.5" customHeight="1">
      <c r="B58" s="355" t="s">
        <v>134</v>
      </c>
      <c r="C58" s="355"/>
      <c r="D58" s="355"/>
      <c r="E58" s="355"/>
      <c r="F58" s="355"/>
      <c r="G58" s="355"/>
      <c r="H58" s="220">
        <v>0.18</v>
      </c>
      <c r="I58" s="221"/>
      <c r="J58" s="221"/>
      <c r="K58" s="221"/>
      <c r="L58" s="221"/>
      <c r="M58" s="221"/>
      <c r="N58" s="221">
        <f>N57*H58</f>
        <v>789.147600659602</v>
      </c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</row>
    <row r="59" spans="2:127" s="1" customFormat="1" ht="16.5" customHeight="1">
      <c r="B59" s="354" t="s">
        <v>22</v>
      </c>
      <c r="C59" s="354"/>
      <c r="D59" s="354"/>
      <c r="E59" s="354"/>
      <c r="F59" s="354"/>
      <c r="G59" s="354"/>
      <c r="H59" s="224"/>
      <c r="I59" s="221"/>
      <c r="J59" s="221"/>
      <c r="K59" s="221"/>
      <c r="L59" s="221"/>
      <c r="M59" s="221"/>
      <c r="N59" s="226">
        <f>SUM(N57:N58)</f>
        <v>5173.300937657391</v>
      </c>
      <c r="O59"/>
      <c r="P59"/>
      <c r="Q59" s="131"/>
      <c r="R59">
        <f>N59/G47</f>
        <v>862.2168229428985</v>
      </c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</row>
    <row r="60" spans="4:127" s="1" customFormat="1" ht="21">
      <c r="D60" s="98"/>
      <c r="F60" s="175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</row>
    <row r="61" spans="2:127" s="1" customFormat="1" ht="21">
      <c r="B61" s="322" t="s">
        <v>162</v>
      </c>
      <c r="C61" s="322"/>
      <c r="D61" s="322"/>
      <c r="E61" s="322"/>
      <c r="F61" s="322"/>
      <c r="G61" s="2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</row>
    <row r="62" spans="2:127" s="1" customFormat="1" ht="21">
      <c r="B62" s="175"/>
      <c r="C62" s="176"/>
      <c r="D62" s="176"/>
      <c r="E62" s="176"/>
      <c r="F62" s="176"/>
      <c r="G62" s="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</row>
    <row r="63" spans="2:127" s="1" customFormat="1" ht="16.5">
      <c r="B63" s="2"/>
      <c r="C63" s="323" t="s">
        <v>73</v>
      </c>
      <c r="D63" s="323"/>
      <c r="E63" s="323"/>
      <c r="F63" s="323"/>
      <c r="G63" s="2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</row>
    <row r="64" spans="2:127" s="1" customFormat="1" ht="21">
      <c r="B64" s="2"/>
      <c r="C64" s="175"/>
      <c r="D64" s="225"/>
      <c r="E64" s="175"/>
      <c r="F64" s="2"/>
      <c r="G64" s="2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</row>
    <row r="65" spans="4:127" s="1" customFormat="1" ht="13.5">
      <c r="D65" s="98"/>
      <c r="F65" s="2"/>
      <c r="G65" s="2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</row>
  </sheetData>
  <sheetProtection/>
  <mergeCells count="44">
    <mergeCell ref="A1:N1"/>
    <mergeCell ref="B2:N2"/>
    <mergeCell ref="C3:D3"/>
    <mergeCell ref="E3:F3"/>
    <mergeCell ref="H3:J3"/>
    <mergeCell ref="C4:D4"/>
    <mergeCell ref="E4:F4"/>
    <mergeCell ref="B5:N5"/>
    <mergeCell ref="B7:B10"/>
    <mergeCell ref="C7:C10"/>
    <mergeCell ref="D7:D10"/>
    <mergeCell ref="E7:E10"/>
    <mergeCell ref="F7:G7"/>
    <mergeCell ref="H7:N7"/>
    <mergeCell ref="F8:F10"/>
    <mergeCell ref="G8:G10"/>
    <mergeCell ref="H8:I8"/>
    <mergeCell ref="L8:M8"/>
    <mergeCell ref="N8:N10"/>
    <mergeCell ref="H9:H10"/>
    <mergeCell ref="I9:I10"/>
    <mergeCell ref="J9:J10"/>
    <mergeCell ref="K9:K10"/>
    <mergeCell ref="L9:L10"/>
    <mergeCell ref="M9:M10"/>
    <mergeCell ref="C17:C18"/>
    <mergeCell ref="C20:C22"/>
    <mergeCell ref="C31:C32"/>
    <mergeCell ref="C34:C35"/>
    <mergeCell ref="C39:C42"/>
    <mergeCell ref="J8:K8"/>
    <mergeCell ref="B49:G49"/>
    <mergeCell ref="B50:G50"/>
    <mergeCell ref="B51:G51"/>
    <mergeCell ref="B52:G52"/>
    <mergeCell ref="B53:G53"/>
    <mergeCell ref="B54:G54"/>
    <mergeCell ref="C63:F63"/>
    <mergeCell ref="B55:G55"/>
    <mergeCell ref="B56:G56"/>
    <mergeCell ref="B57:G57"/>
    <mergeCell ref="B58:G58"/>
    <mergeCell ref="B59:G59"/>
    <mergeCell ref="B61:F61"/>
  </mergeCells>
  <printOptions/>
  <pageMargins left="0.75" right="0.16" top="0.31" bottom="0.33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U36"/>
  <sheetViews>
    <sheetView zoomScale="70" zoomScaleNormal="70" zoomScalePageLayoutView="0" workbookViewId="0" topLeftCell="A1">
      <selection activeCell="A15" sqref="A15:IV16"/>
    </sheetView>
  </sheetViews>
  <sheetFormatPr defaultColWidth="9.00390625" defaultRowHeight="12.75"/>
  <cols>
    <col min="2" max="2" width="13.75390625" style="0" customWidth="1"/>
    <col min="3" max="3" width="10.625" style="0" customWidth="1"/>
    <col min="4" max="4" width="9.25390625" style="0" bestFit="1" customWidth="1"/>
    <col min="5" max="5" width="18.375" style="0" customWidth="1"/>
    <col min="6" max="6" width="13.00390625" style="0" customWidth="1"/>
    <col min="8" max="8" width="9.625" style="0" bestFit="1" customWidth="1"/>
    <col min="9" max="9" width="5.875" style="0" customWidth="1"/>
    <col min="13" max="13" width="10.875" style="0" customWidth="1"/>
    <col min="17" max="17" width="4.25390625" style="0" customWidth="1"/>
    <col min="18" max="18" width="63.00390625" style="0" customWidth="1"/>
    <col min="20" max="20" width="12.00390625" style="0" customWidth="1"/>
    <col min="21" max="21" width="12.625" style="0" customWidth="1"/>
  </cols>
  <sheetData>
    <row r="2" spans="17:20" ht="21" customHeight="1">
      <c r="Q2" s="209"/>
      <c r="R2" s="229" t="s">
        <v>166</v>
      </c>
      <c r="S2" s="230" t="s">
        <v>167</v>
      </c>
      <c r="T2" s="230" t="s">
        <v>2</v>
      </c>
    </row>
    <row r="3" spans="17:20" ht="13.5" thickBot="1">
      <c r="Q3" s="231">
        <v>1</v>
      </c>
      <c r="R3" s="231">
        <v>2</v>
      </c>
      <c r="S3" s="231">
        <v>3</v>
      </c>
      <c r="T3" s="231">
        <v>4</v>
      </c>
    </row>
    <row r="4" spans="17:20" ht="32.25" thickTop="1">
      <c r="Q4" s="232">
        <v>1</v>
      </c>
      <c r="R4" s="233" t="s">
        <v>168</v>
      </c>
      <c r="S4" s="234" t="s">
        <v>16</v>
      </c>
      <c r="T4" s="234">
        <f>H17</f>
        <v>6</v>
      </c>
    </row>
    <row r="5" spans="17:20" ht="16.5" customHeight="1">
      <c r="Q5" s="218">
        <v>2</v>
      </c>
      <c r="R5" s="235" t="s">
        <v>169</v>
      </c>
      <c r="S5" s="234" t="s">
        <v>16</v>
      </c>
      <c r="T5" s="235">
        <f>H17</f>
        <v>6</v>
      </c>
    </row>
    <row r="6" spans="17:20" ht="16.5" customHeight="1">
      <c r="Q6" s="218">
        <v>3</v>
      </c>
      <c r="R6" s="235" t="s">
        <v>170</v>
      </c>
      <c r="S6" s="236" t="s">
        <v>171</v>
      </c>
      <c r="T6" s="260">
        <f>'sabboloo-12'!G17</f>
        <v>1.1775</v>
      </c>
    </row>
    <row r="7" spans="17:20" ht="16.5" customHeight="1">
      <c r="Q7" s="367">
        <v>4</v>
      </c>
      <c r="R7" s="235" t="s">
        <v>172</v>
      </c>
      <c r="S7" s="234" t="s">
        <v>93</v>
      </c>
      <c r="T7" s="237">
        <f>H20</f>
        <v>200.6</v>
      </c>
    </row>
    <row r="8" spans="17:20" ht="16.5" customHeight="1">
      <c r="Q8" s="368"/>
      <c r="R8" s="235" t="s">
        <v>173</v>
      </c>
      <c r="S8" s="234" t="s">
        <v>93</v>
      </c>
      <c r="T8" s="237">
        <f>F18</f>
        <v>185.6</v>
      </c>
    </row>
    <row r="9" spans="17:20" ht="16.5" customHeight="1">
      <c r="Q9" s="369"/>
      <c r="R9" s="235" t="s">
        <v>174</v>
      </c>
      <c r="S9" s="234" t="s">
        <v>93</v>
      </c>
      <c r="T9" s="237">
        <f>F19</f>
        <v>15</v>
      </c>
    </row>
    <row r="10" spans="17:20" ht="16.5" customHeight="1">
      <c r="Q10" s="218">
        <v>5</v>
      </c>
      <c r="R10" s="235" t="s">
        <v>128</v>
      </c>
      <c r="S10" s="234" t="s">
        <v>16</v>
      </c>
      <c r="T10" s="261">
        <f>C19*2</f>
        <v>12</v>
      </c>
    </row>
    <row r="11" spans="17:20" ht="16.5" customHeight="1">
      <c r="Q11" s="218">
        <v>6</v>
      </c>
      <c r="R11" s="235" t="s">
        <v>55</v>
      </c>
      <c r="S11" s="234" t="s">
        <v>16</v>
      </c>
      <c r="T11" s="261">
        <f>H17</f>
        <v>6</v>
      </c>
    </row>
    <row r="12" spans="17:20" ht="16.5" customHeight="1">
      <c r="Q12" s="218">
        <v>7</v>
      </c>
      <c r="R12" s="235" t="s">
        <v>56</v>
      </c>
      <c r="S12" s="234" t="s">
        <v>16</v>
      </c>
      <c r="T12" s="261">
        <f>'[1]saboloo-10'!G48</f>
        <v>4</v>
      </c>
    </row>
    <row r="13" spans="17:20" ht="16.5" customHeight="1">
      <c r="Q13" s="218">
        <v>8</v>
      </c>
      <c r="R13" s="235" t="s">
        <v>175</v>
      </c>
      <c r="S13" s="234" t="s">
        <v>16</v>
      </c>
      <c r="T13" s="261">
        <f>C19</f>
        <v>6</v>
      </c>
    </row>
    <row r="14" spans="17:20" ht="16.5" customHeight="1">
      <c r="Q14" s="218">
        <v>9</v>
      </c>
      <c r="R14" s="235" t="s">
        <v>149</v>
      </c>
      <c r="S14" s="236" t="s">
        <v>5</v>
      </c>
      <c r="T14" s="237">
        <f>'sabboloo-12'!G33</f>
        <v>7.02</v>
      </c>
    </row>
    <row r="15" spans="17:20" ht="16.5" customHeight="1">
      <c r="Q15" s="218">
        <v>10</v>
      </c>
      <c r="R15" s="235" t="s">
        <v>203</v>
      </c>
      <c r="S15" s="236" t="s">
        <v>204</v>
      </c>
      <c r="T15" s="260">
        <f>'sabboloo-12'!G26</f>
        <v>0.11921999999999999</v>
      </c>
    </row>
    <row r="16" spans="17:20" ht="16.5" customHeight="1">
      <c r="Q16" s="218">
        <v>11</v>
      </c>
      <c r="R16" s="235" t="s">
        <v>205</v>
      </c>
      <c r="S16" s="236" t="s">
        <v>206</v>
      </c>
      <c r="T16" s="237">
        <f>'sabboloo-12'!G27</f>
        <v>1.08</v>
      </c>
    </row>
    <row r="17" spans="2:8" ht="43.5" customHeight="1">
      <c r="B17" s="238" t="s">
        <v>176</v>
      </c>
      <c r="C17" s="238" t="s">
        <v>177</v>
      </c>
      <c r="D17" s="238" t="s">
        <v>178</v>
      </c>
      <c r="E17" s="238" t="s">
        <v>179</v>
      </c>
      <c r="F17" s="238" t="s">
        <v>180</v>
      </c>
      <c r="H17" s="239">
        <f>'sabboloo-12'!G12</f>
        <v>6</v>
      </c>
    </row>
    <row r="18" spans="2:8" ht="33" customHeight="1">
      <c r="B18" s="240" t="s">
        <v>181</v>
      </c>
      <c r="C18" s="241">
        <f>H17</f>
        <v>6</v>
      </c>
      <c r="D18" s="242">
        <f>H18/1.02</f>
        <v>181.96078431372547</v>
      </c>
      <c r="E18" s="240">
        <v>1.02</v>
      </c>
      <c r="F18" s="242">
        <f>E18*D18</f>
        <v>185.6</v>
      </c>
      <c r="H18" s="243">
        <f>'sabboloo-12'!G44</f>
        <v>185.6</v>
      </c>
    </row>
    <row r="19" spans="2:8" ht="33" customHeight="1">
      <c r="B19" s="240" t="s">
        <v>182</v>
      </c>
      <c r="C19" s="241">
        <f>H17</f>
        <v>6</v>
      </c>
      <c r="D19" s="240">
        <v>2.5</v>
      </c>
      <c r="E19" s="240">
        <v>1</v>
      </c>
      <c r="F19" s="242">
        <f>E19*D19*C19</f>
        <v>15</v>
      </c>
      <c r="H19" s="243">
        <f>F19</f>
        <v>15</v>
      </c>
    </row>
    <row r="20" ht="21" customHeight="1">
      <c r="H20" s="244">
        <f>SUM(H18:H19)</f>
        <v>200.6</v>
      </c>
    </row>
    <row r="23" spans="9:16" ht="21" customHeight="1">
      <c r="I23" s="370" t="s">
        <v>183</v>
      </c>
      <c r="J23" s="371"/>
      <c r="K23" s="371"/>
      <c r="L23" s="371"/>
      <c r="M23" s="371"/>
      <c r="N23" s="371"/>
      <c r="O23" s="371"/>
      <c r="P23" s="372"/>
    </row>
    <row r="24" spans="9:16" ht="54.75" customHeight="1">
      <c r="I24" s="245" t="s">
        <v>184</v>
      </c>
      <c r="J24" s="245" t="s">
        <v>185</v>
      </c>
      <c r="K24" s="238" t="s">
        <v>186</v>
      </c>
      <c r="L24" s="238" t="s">
        <v>187</v>
      </c>
      <c r="M24" s="238" t="s">
        <v>188</v>
      </c>
      <c r="N24" s="238" t="s">
        <v>189</v>
      </c>
      <c r="O24" s="238" t="s">
        <v>190</v>
      </c>
      <c r="P24" s="238" t="s">
        <v>191</v>
      </c>
    </row>
    <row r="25" spans="9:16" ht="21" customHeight="1">
      <c r="I25" s="373" t="s">
        <v>192</v>
      </c>
      <c r="J25" s="246">
        <v>1</v>
      </c>
      <c r="K25" s="246" t="s">
        <v>193</v>
      </c>
      <c r="L25" s="246">
        <v>10000</v>
      </c>
      <c r="M25" s="246">
        <f>H17</f>
        <v>6</v>
      </c>
      <c r="N25" s="246">
        <f>M25*L25/1000</f>
        <v>60</v>
      </c>
      <c r="O25" s="246">
        <v>14</v>
      </c>
      <c r="P25" s="247">
        <f>O25*N25</f>
        <v>840</v>
      </c>
    </row>
    <row r="26" spans="9:16" ht="21" customHeight="1">
      <c r="I26" s="374"/>
      <c r="J26" s="246">
        <v>2</v>
      </c>
      <c r="K26" s="246" t="s">
        <v>194</v>
      </c>
      <c r="L26" s="246">
        <v>2000</v>
      </c>
      <c r="M26" s="246">
        <f>H17</f>
        <v>6</v>
      </c>
      <c r="N26" s="246">
        <f>M26*L26/1000</f>
        <v>12</v>
      </c>
      <c r="O26" s="246">
        <v>4.32</v>
      </c>
      <c r="P26" s="246">
        <f>O26*N26</f>
        <v>51.84</v>
      </c>
    </row>
    <row r="27" spans="9:16" ht="21" customHeight="1">
      <c r="I27" s="374"/>
      <c r="J27" s="246">
        <v>3</v>
      </c>
      <c r="K27" s="246" t="s">
        <v>195</v>
      </c>
      <c r="L27" s="246">
        <v>200</v>
      </c>
      <c r="M27" s="246">
        <f>H17</f>
        <v>6</v>
      </c>
      <c r="N27" s="246">
        <f>M27*L27/1000</f>
        <v>1.2</v>
      </c>
      <c r="O27" s="246">
        <v>2.74</v>
      </c>
      <c r="P27" s="246">
        <f>O27*N27</f>
        <v>3.2880000000000003</v>
      </c>
    </row>
    <row r="28" spans="9:16" ht="21.75" customHeight="1">
      <c r="I28" s="375"/>
      <c r="J28" s="376" t="s">
        <v>196</v>
      </c>
      <c r="K28" s="377"/>
      <c r="L28" s="378"/>
      <c r="M28" s="379"/>
      <c r="N28" s="379"/>
      <c r="O28" s="380"/>
      <c r="P28" s="248">
        <f>SUM(P25:P27)</f>
        <v>895.128</v>
      </c>
    </row>
    <row r="30" spans="17:21" ht="28.5" customHeight="1">
      <c r="Q30" s="381" t="s">
        <v>166</v>
      </c>
      <c r="R30" s="382"/>
      <c r="S30" s="230" t="s">
        <v>167</v>
      </c>
      <c r="T30" s="230" t="s">
        <v>2</v>
      </c>
      <c r="U30" s="249" t="s">
        <v>197</v>
      </c>
    </row>
    <row r="31" spans="17:21" ht="15.75" customHeight="1">
      <c r="Q31" s="250">
        <v>1</v>
      </c>
      <c r="R31" s="251">
        <v>2</v>
      </c>
      <c r="S31" s="252">
        <v>3</v>
      </c>
      <c r="T31" s="252">
        <v>4</v>
      </c>
      <c r="U31" s="253">
        <v>5</v>
      </c>
    </row>
    <row r="32" spans="17:21" ht="23.25" customHeight="1">
      <c r="Q32" s="254">
        <v>1</v>
      </c>
      <c r="R32" s="255" t="s">
        <v>198</v>
      </c>
      <c r="S32" s="256" t="s">
        <v>16</v>
      </c>
      <c r="T32" s="257">
        <f>H17</f>
        <v>6</v>
      </c>
      <c r="U32" s="364">
        <v>1</v>
      </c>
    </row>
    <row r="33" spans="17:21" ht="23.25" customHeight="1">
      <c r="Q33" s="254">
        <v>2</v>
      </c>
      <c r="R33" s="258" t="s">
        <v>199</v>
      </c>
      <c r="S33" s="256" t="s">
        <v>16</v>
      </c>
      <c r="T33" s="257">
        <f>H17</f>
        <v>6</v>
      </c>
      <c r="U33" s="365"/>
    </row>
    <row r="34" spans="17:21" ht="23.25" customHeight="1">
      <c r="Q34" s="254">
        <v>3</v>
      </c>
      <c r="R34" s="258" t="s">
        <v>200</v>
      </c>
      <c r="S34" s="256" t="s">
        <v>16</v>
      </c>
      <c r="T34" s="257"/>
      <c r="U34" s="366"/>
    </row>
    <row r="35" spans="17:21" ht="23.25" customHeight="1">
      <c r="Q35" s="254">
        <v>4</v>
      </c>
      <c r="R35" s="255" t="s">
        <v>201</v>
      </c>
      <c r="S35" s="256" t="s">
        <v>93</v>
      </c>
      <c r="T35" s="257">
        <f>T7</f>
        <v>200.6</v>
      </c>
      <c r="U35" s="364">
        <v>1</v>
      </c>
    </row>
    <row r="36" spans="17:21" ht="23.25" customHeight="1">
      <c r="Q36" s="254">
        <v>5</v>
      </c>
      <c r="R36" s="259" t="s">
        <v>202</v>
      </c>
      <c r="S36" s="256" t="s">
        <v>16</v>
      </c>
      <c r="T36" s="257">
        <f>H17</f>
        <v>6</v>
      </c>
      <c r="U36" s="366"/>
    </row>
  </sheetData>
  <sheetProtection/>
  <mergeCells count="8">
    <mergeCell ref="U32:U34"/>
    <mergeCell ref="U35:U36"/>
    <mergeCell ref="Q7:Q9"/>
    <mergeCell ref="I23:P23"/>
    <mergeCell ref="I25:I28"/>
    <mergeCell ref="J28:K28"/>
    <mergeCell ref="L28:O28"/>
    <mergeCell ref="Q30:R3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M40"/>
  <sheetViews>
    <sheetView tabSelected="1" zoomScalePageLayoutView="0" workbookViewId="0" topLeftCell="A1">
      <selection activeCell="M39" sqref="A2:M39"/>
    </sheetView>
  </sheetViews>
  <sheetFormatPr defaultColWidth="9.00390625" defaultRowHeight="12.75"/>
  <cols>
    <col min="1" max="1" width="2.00390625" style="262" customWidth="1"/>
    <col min="2" max="2" width="3.625" style="262" customWidth="1"/>
    <col min="3" max="3" width="43.25390625" style="263" customWidth="1"/>
    <col min="4" max="4" width="7.375" style="262" customWidth="1"/>
    <col min="5" max="5" width="7.125" style="262" customWidth="1"/>
    <col min="6" max="6" width="8.375" style="262" customWidth="1"/>
    <col min="7" max="7" width="7.625" style="262" customWidth="1"/>
    <col min="8" max="8" width="8.375" style="262" customWidth="1"/>
    <col min="9" max="9" width="7.75390625" style="262" customWidth="1"/>
    <col min="10" max="10" width="9.00390625" style="262" customWidth="1"/>
    <col min="11" max="11" width="8.00390625" style="262" customWidth="1"/>
    <col min="12" max="12" width="8.375" style="262" customWidth="1"/>
    <col min="13" max="13" width="13.375" style="262" customWidth="1"/>
    <col min="14" max="16384" width="9.125" style="262" customWidth="1"/>
  </cols>
  <sheetData>
    <row r="2" spans="1:13" ht="25.5" customHeight="1">
      <c r="A2" s="394" t="s">
        <v>208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</row>
    <row r="3" spans="2:13" s="263" customFormat="1" ht="18" customHeight="1">
      <c r="B3" s="395" t="s">
        <v>209</v>
      </c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</row>
    <row r="4" spans="2:13" s="264" customFormat="1" ht="6" customHeight="1">
      <c r="B4" s="265"/>
      <c r="C4" s="266"/>
      <c r="D4" s="265"/>
      <c r="E4" s="265"/>
      <c r="F4" s="265"/>
      <c r="G4" s="265"/>
      <c r="H4" s="265"/>
      <c r="I4" s="265"/>
      <c r="J4" s="265"/>
      <c r="K4" s="265"/>
      <c r="L4" s="265"/>
      <c r="M4" s="265"/>
    </row>
    <row r="5" spans="2:13" ht="20.25" customHeight="1">
      <c r="B5" s="396" t="s">
        <v>210</v>
      </c>
      <c r="C5" s="399" t="s">
        <v>211</v>
      </c>
      <c r="D5" s="391" t="s">
        <v>212</v>
      </c>
      <c r="E5" s="402" t="s">
        <v>213</v>
      </c>
      <c r="F5" s="403"/>
      <c r="G5" s="387" t="s">
        <v>214</v>
      </c>
      <c r="H5" s="404"/>
      <c r="I5" s="404"/>
      <c r="J5" s="404"/>
      <c r="K5" s="404"/>
      <c r="L5" s="404"/>
      <c r="M5" s="388"/>
    </row>
    <row r="6" spans="2:13" ht="18.75" customHeight="1">
      <c r="B6" s="397"/>
      <c r="C6" s="400"/>
      <c r="D6" s="393"/>
      <c r="E6" s="391" t="s">
        <v>215</v>
      </c>
      <c r="F6" s="391" t="s">
        <v>216</v>
      </c>
      <c r="G6" s="387" t="s">
        <v>217</v>
      </c>
      <c r="H6" s="388"/>
      <c r="I6" s="387" t="s">
        <v>218</v>
      </c>
      <c r="J6" s="388"/>
      <c r="K6" s="387" t="s">
        <v>219</v>
      </c>
      <c r="L6" s="388"/>
      <c r="M6" s="384" t="s">
        <v>220</v>
      </c>
    </row>
    <row r="7" spans="2:13" ht="20.25" customHeight="1">
      <c r="B7" s="397"/>
      <c r="C7" s="400"/>
      <c r="D7" s="393"/>
      <c r="E7" s="393"/>
      <c r="F7" s="393"/>
      <c r="G7" s="391" t="s">
        <v>221</v>
      </c>
      <c r="H7" s="384" t="s">
        <v>222</v>
      </c>
      <c r="I7" s="391" t="s">
        <v>221</v>
      </c>
      <c r="J7" s="384" t="s">
        <v>222</v>
      </c>
      <c r="K7" s="391" t="s">
        <v>221</v>
      </c>
      <c r="L7" s="384" t="s">
        <v>222</v>
      </c>
      <c r="M7" s="390"/>
    </row>
    <row r="8" spans="2:13" ht="42.75" customHeight="1">
      <c r="B8" s="398"/>
      <c r="C8" s="401"/>
      <c r="D8" s="392"/>
      <c r="E8" s="392"/>
      <c r="F8" s="392"/>
      <c r="G8" s="392"/>
      <c r="H8" s="385"/>
      <c r="I8" s="392"/>
      <c r="J8" s="385"/>
      <c r="K8" s="392"/>
      <c r="L8" s="385"/>
      <c r="M8" s="385"/>
    </row>
    <row r="9" spans="2:13" ht="15">
      <c r="B9" s="298">
        <v>1</v>
      </c>
      <c r="C9" s="299">
        <v>2</v>
      </c>
      <c r="D9" s="298">
        <v>3</v>
      </c>
      <c r="E9" s="298">
        <v>4</v>
      </c>
      <c r="F9" s="298">
        <v>5</v>
      </c>
      <c r="G9" s="298">
        <v>6</v>
      </c>
      <c r="H9" s="298">
        <v>7</v>
      </c>
      <c r="I9" s="298">
        <v>8</v>
      </c>
      <c r="J9" s="298">
        <v>9</v>
      </c>
      <c r="K9" s="298">
        <v>10</v>
      </c>
      <c r="L9" s="298">
        <v>11</v>
      </c>
      <c r="M9" s="298">
        <v>12</v>
      </c>
    </row>
    <row r="10" spans="2:13" ht="45">
      <c r="B10" s="267">
        <v>1</v>
      </c>
      <c r="C10" s="268" t="s">
        <v>230</v>
      </c>
      <c r="D10" s="269" t="s">
        <v>231</v>
      </c>
      <c r="E10" s="269"/>
      <c r="F10" s="269">
        <v>6</v>
      </c>
      <c r="G10" s="270">
        <v>0</v>
      </c>
      <c r="H10" s="270">
        <f>G10*F10</f>
        <v>0</v>
      </c>
      <c r="I10" s="270">
        <v>0</v>
      </c>
      <c r="J10" s="270">
        <f>F10*I10</f>
        <v>0</v>
      </c>
      <c r="K10" s="270">
        <v>0</v>
      </c>
      <c r="L10" s="270">
        <f>K10*F10</f>
        <v>0</v>
      </c>
      <c r="M10" s="271">
        <f>L10+J10+H10</f>
        <v>0</v>
      </c>
    </row>
    <row r="11" spans="2:13" ht="19.5" customHeight="1">
      <c r="B11" s="272">
        <v>2</v>
      </c>
      <c r="C11" s="268" t="s">
        <v>232</v>
      </c>
      <c r="D11" s="269" t="s">
        <v>233</v>
      </c>
      <c r="E11" s="269"/>
      <c r="F11" s="273">
        <v>1.177</v>
      </c>
      <c r="G11" s="270">
        <v>0</v>
      </c>
      <c r="H11" s="270">
        <f>G11*F11</f>
        <v>0</v>
      </c>
      <c r="I11" s="270">
        <v>0</v>
      </c>
      <c r="J11" s="270">
        <f>F11*I11</f>
        <v>0</v>
      </c>
      <c r="K11" s="270">
        <v>0</v>
      </c>
      <c r="L11" s="270">
        <f>K11*F11</f>
        <v>0</v>
      </c>
      <c r="M11" s="271">
        <f>L11+J11+H11</f>
        <v>0</v>
      </c>
    </row>
    <row r="12" spans="2:13" ht="19.5" customHeight="1">
      <c r="B12" s="272"/>
      <c r="C12" s="274" t="s">
        <v>234</v>
      </c>
      <c r="D12" s="269" t="s">
        <v>233</v>
      </c>
      <c r="E12" s="275">
        <v>1.015</v>
      </c>
      <c r="F12" s="276">
        <v>1.194</v>
      </c>
      <c r="G12" s="270">
        <v>0</v>
      </c>
      <c r="H12" s="270">
        <f>G12*F12</f>
        <v>0</v>
      </c>
      <c r="I12" s="270">
        <v>0</v>
      </c>
      <c r="J12" s="270">
        <f>F12*I12</f>
        <v>0</v>
      </c>
      <c r="K12" s="270">
        <v>0</v>
      </c>
      <c r="L12" s="270">
        <f>K12*F12</f>
        <v>0</v>
      </c>
      <c r="M12" s="271">
        <f>L12+J12+H12</f>
        <v>0</v>
      </c>
    </row>
    <row r="13" spans="2:13" ht="30">
      <c r="B13" s="277">
        <v>3</v>
      </c>
      <c r="C13" s="278" t="s">
        <v>235</v>
      </c>
      <c r="D13" s="269" t="s">
        <v>231</v>
      </c>
      <c r="E13" s="269"/>
      <c r="F13" s="279">
        <v>6</v>
      </c>
      <c r="G13" s="270">
        <v>0</v>
      </c>
      <c r="H13" s="270">
        <f aca="true" t="shared" si="0" ref="H13:H28">G13*F13</f>
        <v>0</v>
      </c>
      <c r="I13" s="270">
        <v>0</v>
      </c>
      <c r="J13" s="270">
        <f aca="true" t="shared" si="1" ref="J13:J28">F13*I13</f>
        <v>0</v>
      </c>
      <c r="K13" s="270">
        <v>0</v>
      </c>
      <c r="L13" s="270">
        <f aca="true" t="shared" si="2" ref="L13:L28">K13*F13</f>
        <v>0</v>
      </c>
      <c r="M13" s="271">
        <f aca="true" t="shared" si="3" ref="M13:M28">L13+J13+H13</f>
        <v>0</v>
      </c>
    </row>
    <row r="14" spans="2:13" ht="19.5" customHeight="1">
      <c r="B14" s="280"/>
      <c r="C14" s="274" t="s">
        <v>236</v>
      </c>
      <c r="D14" s="275" t="s">
        <v>237</v>
      </c>
      <c r="E14" s="275" t="s">
        <v>229</v>
      </c>
      <c r="F14" s="281">
        <v>60</v>
      </c>
      <c r="G14" s="270">
        <v>0</v>
      </c>
      <c r="H14" s="270">
        <f t="shared" si="0"/>
        <v>0</v>
      </c>
      <c r="I14" s="270">
        <v>0</v>
      </c>
      <c r="J14" s="270">
        <f t="shared" si="1"/>
        <v>0</v>
      </c>
      <c r="K14" s="270">
        <v>0</v>
      </c>
      <c r="L14" s="270">
        <f t="shared" si="2"/>
        <v>0</v>
      </c>
      <c r="M14" s="271">
        <f t="shared" si="3"/>
        <v>0</v>
      </c>
    </row>
    <row r="15" spans="2:13" ht="19.5" customHeight="1">
      <c r="B15" s="280"/>
      <c r="C15" s="274" t="s">
        <v>238</v>
      </c>
      <c r="D15" s="275" t="s">
        <v>237</v>
      </c>
      <c r="E15" s="275" t="s">
        <v>229</v>
      </c>
      <c r="F15" s="281">
        <v>12</v>
      </c>
      <c r="G15" s="270">
        <v>0</v>
      </c>
      <c r="H15" s="270">
        <f t="shared" si="0"/>
        <v>0</v>
      </c>
      <c r="I15" s="270">
        <v>0</v>
      </c>
      <c r="J15" s="270">
        <f t="shared" si="1"/>
        <v>0</v>
      </c>
      <c r="K15" s="270">
        <v>0</v>
      </c>
      <c r="L15" s="270">
        <f t="shared" si="2"/>
        <v>0</v>
      </c>
      <c r="M15" s="271">
        <f t="shared" si="3"/>
        <v>0</v>
      </c>
    </row>
    <row r="16" spans="2:13" ht="19.5" customHeight="1">
      <c r="B16" s="280"/>
      <c r="C16" s="274" t="s">
        <v>239</v>
      </c>
      <c r="D16" s="275" t="s">
        <v>237</v>
      </c>
      <c r="E16" s="275" t="s">
        <v>229</v>
      </c>
      <c r="F16" s="275">
        <v>1.2000000000000002</v>
      </c>
      <c r="G16" s="270">
        <v>0</v>
      </c>
      <c r="H16" s="270">
        <f t="shared" si="0"/>
        <v>0</v>
      </c>
      <c r="I16" s="270">
        <v>0</v>
      </c>
      <c r="J16" s="270">
        <f t="shared" si="1"/>
        <v>0</v>
      </c>
      <c r="K16" s="270">
        <v>0</v>
      </c>
      <c r="L16" s="270">
        <f t="shared" si="2"/>
        <v>0</v>
      </c>
      <c r="M16" s="271">
        <f t="shared" si="3"/>
        <v>0</v>
      </c>
    </row>
    <row r="17" spans="2:13" ht="28.5" customHeight="1">
      <c r="B17" s="282"/>
      <c r="C17" s="274" t="s">
        <v>256</v>
      </c>
      <c r="D17" s="275" t="s">
        <v>240</v>
      </c>
      <c r="E17" s="275" t="s">
        <v>229</v>
      </c>
      <c r="F17" s="276">
        <v>0.119</v>
      </c>
      <c r="G17" s="270">
        <v>0</v>
      </c>
      <c r="H17" s="270">
        <f t="shared" si="0"/>
        <v>0</v>
      </c>
      <c r="I17" s="270">
        <v>0</v>
      </c>
      <c r="J17" s="270">
        <f t="shared" si="1"/>
        <v>0</v>
      </c>
      <c r="K17" s="270">
        <v>0</v>
      </c>
      <c r="L17" s="270">
        <f t="shared" si="2"/>
        <v>0</v>
      </c>
      <c r="M17" s="271">
        <f t="shared" si="3"/>
        <v>0</v>
      </c>
    </row>
    <row r="18" spans="2:13" ht="30">
      <c r="B18" s="282"/>
      <c r="C18" s="274" t="s">
        <v>241</v>
      </c>
      <c r="D18" s="275" t="s">
        <v>242</v>
      </c>
      <c r="E18" s="275" t="s">
        <v>229</v>
      </c>
      <c r="F18" s="276">
        <v>1.08</v>
      </c>
      <c r="G18" s="270">
        <v>0</v>
      </c>
      <c r="H18" s="270">
        <f t="shared" si="0"/>
        <v>0</v>
      </c>
      <c r="I18" s="270">
        <v>0</v>
      </c>
      <c r="J18" s="270">
        <f t="shared" si="1"/>
        <v>0</v>
      </c>
      <c r="K18" s="270">
        <v>0</v>
      </c>
      <c r="L18" s="270">
        <f t="shared" si="2"/>
        <v>0</v>
      </c>
      <c r="M18" s="271">
        <f t="shared" si="3"/>
        <v>0</v>
      </c>
    </row>
    <row r="19" spans="2:13" ht="28.5" customHeight="1">
      <c r="B19" s="272">
        <v>4</v>
      </c>
      <c r="C19" s="278" t="s">
        <v>243</v>
      </c>
      <c r="D19" s="269" t="s">
        <v>244</v>
      </c>
      <c r="E19" s="269" t="s">
        <v>4</v>
      </c>
      <c r="F19" s="283">
        <v>28.08</v>
      </c>
      <c r="G19" s="270">
        <v>0</v>
      </c>
      <c r="H19" s="270">
        <f t="shared" si="0"/>
        <v>0</v>
      </c>
      <c r="I19" s="270">
        <v>0</v>
      </c>
      <c r="J19" s="270">
        <f t="shared" si="1"/>
        <v>0</v>
      </c>
      <c r="K19" s="270">
        <v>0</v>
      </c>
      <c r="L19" s="270">
        <f t="shared" si="2"/>
        <v>0</v>
      </c>
      <c r="M19" s="271">
        <f t="shared" si="3"/>
        <v>0</v>
      </c>
    </row>
    <row r="20" spans="2:13" ht="19.5" customHeight="1">
      <c r="B20" s="272"/>
      <c r="C20" s="284" t="s">
        <v>245</v>
      </c>
      <c r="D20" s="285" t="s">
        <v>246</v>
      </c>
      <c r="E20" s="285">
        <v>0.25</v>
      </c>
      <c r="F20" s="286">
        <v>7.02</v>
      </c>
      <c r="G20" s="270">
        <v>0</v>
      </c>
      <c r="H20" s="270">
        <f t="shared" si="0"/>
        <v>0</v>
      </c>
      <c r="I20" s="270">
        <v>0</v>
      </c>
      <c r="J20" s="270">
        <f t="shared" si="1"/>
        <v>0</v>
      </c>
      <c r="K20" s="270">
        <v>0</v>
      </c>
      <c r="L20" s="270">
        <f t="shared" si="2"/>
        <v>0</v>
      </c>
      <c r="M20" s="271">
        <f t="shared" si="3"/>
        <v>0</v>
      </c>
    </row>
    <row r="21" spans="2:13" ht="27.75" customHeight="1">
      <c r="B21" s="277">
        <v>5</v>
      </c>
      <c r="C21" s="278" t="s">
        <v>247</v>
      </c>
      <c r="D21" s="269" t="s">
        <v>231</v>
      </c>
      <c r="E21" s="269"/>
      <c r="F21" s="279">
        <v>6</v>
      </c>
      <c r="G21" s="270">
        <v>0</v>
      </c>
      <c r="H21" s="270">
        <f t="shared" si="0"/>
        <v>0</v>
      </c>
      <c r="I21" s="270">
        <v>0</v>
      </c>
      <c r="J21" s="270">
        <f t="shared" si="1"/>
        <v>0</v>
      </c>
      <c r="K21" s="270">
        <v>0</v>
      </c>
      <c r="L21" s="270">
        <f t="shared" si="2"/>
        <v>0</v>
      </c>
      <c r="M21" s="271">
        <f t="shared" si="3"/>
        <v>0</v>
      </c>
    </row>
    <row r="22" spans="2:13" ht="44.25" customHeight="1">
      <c r="B22" s="287"/>
      <c r="C22" s="274" t="s">
        <v>248</v>
      </c>
      <c r="D22" s="300" t="s">
        <v>231</v>
      </c>
      <c r="E22" s="275">
        <v>1</v>
      </c>
      <c r="F22" s="288">
        <v>6</v>
      </c>
      <c r="G22" s="270">
        <v>0</v>
      </c>
      <c r="H22" s="270">
        <f t="shared" si="0"/>
        <v>0</v>
      </c>
      <c r="I22" s="270">
        <v>0</v>
      </c>
      <c r="J22" s="270">
        <f t="shared" si="1"/>
        <v>0</v>
      </c>
      <c r="K22" s="270">
        <v>0</v>
      </c>
      <c r="L22" s="270">
        <f t="shared" si="2"/>
        <v>0</v>
      </c>
      <c r="M22" s="271">
        <f t="shared" si="3"/>
        <v>0</v>
      </c>
    </row>
    <row r="23" spans="2:13" ht="27.75" customHeight="1">
      <c r="B23" s="277">
        <v>6</v>
      </c>
      <c r="C23" s="278" t="s">
        <v>249</v>
      </c>
      <c r="D23" s="269" t="s">
        <v>250</v>
      </c>
      <c r="E23" s="269"/>
      <c r="F23" s="289">
        <v>200.6</v>
      </c>
      <c r="G23" s="270">
        <v>0</v>
      </c>
      <c r="H23" s="270">
        <f t="shared" si="0"/>
        <v>0</v>
      </c>
      <c r="I23" s="270">
        <v>0</v>
      </c>
      <c r="J23" s="270">
        <f t="shared" si="1"/>
        <v>0</v>
      </c>
      <c r="K23" s="270">
        <v>0</v>
      </c>
      <c r="L23" s="270">
        <f t="shared" si="2"/>
        <v>0</v>
      </c>
      <c r="M23" s="271">
        <f t="shared" si="3"/>
        <v>0</v>
      </c>
    </row>
    <row r="24" spans="2:13" ht="15.75" customHeight="1">
      <c r="B24" s="277"/>
      <c r="C24" s="284" t="s">
        <v>251</v>
      </c>
      <c r="D24" s="275" t="s">
        <v>250</v>
      </c>
      <c r="E24" s="275" t="s">
        <v>229</v>
      </c>
      <c r="F24" s="271">
        <v>185.6</v>
      </c>
      <c r="G24" s="270">
        <v>0</v>
      </c>
      <c r="H24" s="270">
        <f t="shared" si="0"/>
        <v>0</v>
      </c>
      <c r="I24" s="270">
        <v>0</v>
      </c>
      <c r="J24" s="270">
        <f t="shared" si="1"/>
        <v>0</v>
      </c>
      <c r="K24" s="270">
        <v>0</v>
      </c>
      <c r="L24" s="270">
        <f t="shared" si="2"/>
        <v>0</v>
      </c>
      <c r="M24" s="271">
        <f t="shared" si="3"/>
        <v>0</v>
      </c>
    </row>
    <row r="25" spans="2:13" ht="16.5" customHeight="1">
      <c r="B25" s="277"/>
      <c r="C25" s="284" t="s">
        <v>252</v>
      </c>
      <c r="D25" s="275" t="s">
        <v>250</v>
      </c>
      <c r="E25" s="275" t="s">
        <v>229</v>
      </c>
      <c r="F25" s="271">
        <v>15</v>
      </c>
      <c r="G25" s="270">
        <v>0</v>
      </c>
      <c r="H25" s="270">
        <f t="shared" si="0"/>
        <v>0</v>
      </c>
      <c r="I25" s="270">
        <v>0</v>
      </c>
      <c r="J25" s="270">
        <f t="shared" si="1"/>
        <v>0</v>
      </c>
      <c r="K25" s="270">
        <v>0</v>
      </c>
      <c r="L25" s="270">
        <f t="shared" si="2"/>
        <v>0</v>
      </c>
      <c r="M25" s="271">
        <f t="shared" si="3"/>
        <v>0</v>
      </c>
    </row>
    <row r="26" spans="2:13" ht="16.5" customHeight="1">
      <c r="B26" s="277"/>
      <c r="C26" s="274" t="s">
        <v>253</v>
      </c>
      <c r="D26" s="275" t="s">
        <v>231</v>
      </c>
      <c r="E26" s="275" t="s">
        <v>229</v>
      </c>
      <c r="F26" s="288">
        <v>12</v>
      </c>
      <c r="G26" s="270">
        <v>0</v>
      </c>
      <c r="H26" s="270">
        <f t="shared" si="0"/>
        <v>0</v>
      </c>
      <c r="I26" s="270">
        <v>0</v>
      </c>
      <c r="J26" s="270">
        <f t="shared" si="1"/>
        <v>0</v>
      </c>
      <c r="K26" s="270">
        <v>0</v>
      </c>
      <c r="L26" s="270">
        <f t="shared" si="2"/>
        <v>0</v>
      </c>
      <c r="M26" s="271">
        <f t="shared" si="3"/>
        <v>0</v>
      </c>
    </row>
    <row r="27" spans="2:13" ht="16.5" customHeight="1">
      <c r="B27" s="277"/>
      <c r="C27" s="274" t="s">
        <v>254</v>
      </c>
      <c r="D27" s="275" t="s">
        <v>231</v>
      </c>
      <c r="E27" s="275" t="s">
        <v>229</v>
      </c>
      <c r="F27" s="288">
        <v>6</v>
      </c>
      <c r="G27" s="270">
        <v>0</v>
      </c>
      <c r="H27" s="270">
        <f t="shared" si="0"/>
        <v>0</v>
      </c>
      <c r="I27" s="270">
        <v>0</v>
      </c>
      <c r="J27" s="270">
        <f t="shared" si="1"/>
        <v>0</v>
      </c>
      <c r="K27" s="270">
        <v>0</v>
      </c>
      <c r="L27" s="270">
        <f t="shared" si="2"/>
        <v>0</v>
      </c>
      <c r="M27" s="271">
        <f t="shared" si="3"/>
        <v>0</v>
      </c>
    </row>
    <row r="28" spans="2:13" ht="16.5" customHeight="1">
      <c r="B28" s="277"/>
      <c r="C28" s="274" t="s">
        <v>255</v>
      </c>
      <c r="D28" s="275" t="s">
        <v>231</v>
      </c>
      <c r="E28" s="275" t="s">
        <v>229</v>
      </c>
      <c r="F28" s="288">
        <v>4</v>
      </c>
      <c r="G28" s="270">
        <v>0</v>
      </c>
      <c r="H28" s="270">
        <f t="shared" si="0"/>
        <v>0</v>
      </c>
      <c r="I28" s="270">
        <v>0</v>
      </c>
      <c r="J28" s="270">
        <f t="shared" si="1"/>
        <v>0</v>
      </c>
      <c r="K28" s="270">
        <v>0</v>
      </c>
      <c r="L28" s="270">
        <f t="shared" si="2"/>
        <v>0</v>
      </c>
      <c r="M28" s="271">
        <f t="shared" si="3"/>
        <v>0</v>
      </c>
    </row>
    <row r="29" spans="2:13" ht="16.5" customHeight="1">
      <c r="B29" s="389" t="s">
        <v>220</v>
      </c>
      <c r="C29" s="389"/>
      <c r="D29" s="389"/>
      <c r="E29" s="389"/>
      <c r="F29" s="389"/>
      <c r="G29" s="290"/>
      <c r="H29" s="291">
        <f>SUM(H11:H28)</f>
        <v>0</v>
      </c>
      <c r="I29" s="291"/>
      <c r="J29" s="291">
        <f>SUM(J11:J28)</f>
        <v>0</v>
      </c>
      <c r="K29" s="291"/>
      <c r="L29" s="291">
        <f>SUM(L11:L28)</f>
        <v>0</v>
      </c>
      <c r="M29" s="291">
        <f>SUM(M11:M28)</f>
        <v>0</v>
      </c>
    </row>
    <row r="30" spans="2:13" ht="16.5" customHeight="1">
      <c r="B30" s="386" t="s">
        <v>223</v>
      </c>
      <c r="C30" s="386"/>
      <c r="D30" s="386"/>
      <c r="E30" s="386"/>
      <c r="F30" s="386"/>
      <c r="G30" s="292"/>
      <c r="H30" s="291"/>
      <c r="I30" s="291"/>
      <c r="J30" s="291">
        <f>J29*G30</f>
        <v>0</v>
      </c>
      <c r="K30" s="291"/>
      <c r="L30" s="291"/>
      <c r="M30" s="291">
        <f>J30</f>
        <v>0</v>
      </c>
    </row>
    <row r="31" spans="2:13" ht="16.5" customHeight="1">
      <c r="B31" s="383" t="s">
        <v>220</v>
      </c>
      <c r="C31" s="383"/>
      <c r="D31" s="383"/>
      <c r="E31" s="383"/>
      <c r="F31" s="383"/>
      <c r="G31" s="293"/>
      <c r="H31" s="291"/>
      <c r="I31" s="291"/>
      <c r="J31" s="291"/>
      <c r="K31" s="291"/>
      <c r="L31" s="291"/>
      <c r="M31" s="291">
        <f>SUM(M29:M30)</f>
        <v>0</v>
      </c>
    </row>
    <row r="32" spans="2:13" ht="16.5" customHeight="1">
      <c r="B32" s="386" t="s">
        <v>224</v>
      </c>
      <c r="C32" s="386"/>
      <c r="D32" s="386"/>
      <c r="E32" s="386"/>
      <c r="F32" s="386"/>
      <c r="G32" s="292"/>
      <c r="H32" s="291"/>
      <c r="I32" s="291"/>
      <c r="J32" s="291"/>
      <c r="K32" s="291"/>
      <c r="L32" s="291"/>
      <c r="M32" s="291">
        <f>M31*G32</f>
        <v>0</v>
      </c>
    </row>
    <row r="33" spans="2:13" ht="16.5" customHeight="1">
      <c r="B33" s="383" t="s">
        <v>220</v>
      </c>
      <c r="C33" s="383"/>
      <c r="D33" s="383"/>
      <c r="E33" s="383"/>
      <c r="F33" s="383"/>
      <c r="G33" s="294"/>
      <c r="H33" s="291"/>
      <c r="I33" s="291"/>
      <c r="J33" s="291"/>
      <c r="K33" s="291"/>
      <c r="L33" s="291"/>
      <c r="M33" s="291">
        <f>SUM(M31:M32)</f>
        <v>0</v>
      </c>
    </row>
    <row r="34" spans="2:13" ht="16.5" customHeight="1">
      <c r="B34" s="386" t="s">
        <v>225</v>
      </c>
      <c r="C34" s="386"/>
      <c r="D34" s="386"/>
      <c r="E34" s="386"/>
      <c r="F34" s="386"/>
      <c r="G34" s="292"/>
      <c r="H34" s="291"/>
      <c r="I34" s="291"/>
      <c r="J34" s="291"/>
      <c r="K34" s="291"/>
      <c r="L34" s="291"/>
      <c r="M34" s="291">
        <f>M33*G34</f>
        <v>0</v>
      </c>
    </row>
    <row r="35" spans="2:13" ht="16.5" customHeight="1">
      <c r="B35" s="383" t="s">
        <v>220</v>
      </c>
      <c r="C35" s="383"/>
      <c r="D35" s="383"/>
      <c r="E35" s="383"/>
      <c r="F35" s="383"/>
      <c r="G35" s="292"/>
      <c r="H35" s="291"/>
      <c r="I35" s="291"/>
      <c r="J35" s="291"/>
      <c r="K35" s="291"/>
      <c r="L35" s="291"/>
      <c r="M35" s="291">
        <f>SUM(M33:M34)</f>
        <v>0</v>
      </c>
    </row>
    <row r="36" spans="2:13" ht="16.5" customHeight="1">
      <c r="B36" s="386" t="s">
        <v>226</v>
      </c>
      <c r="C36" s="386"/>
      <c r="D36" s="386"/>
      <c r="E36" s="386"/>
      <c r="F36" s="386"/>
      <c r="G36" s="292">
        <v>0.015</v>
      </c>
      <c r="H36" s="291"/>
      <c r="I36" s="291"/>
      <c r="J36" s="291"/>
      <c r="K36" s="291"/>
      <c r="L36" s="291"/>
      <c r="M36" s="291">
        <f>M35*G36</f>
        <v>0</v>
      </c>
    </row>
    <row r="37" spans="2:13" ht="16.5" customHeight="1">
      <c r="B37" s="383" t="s">
        <v>220</v>
      </c>
      <c r="C37" s="383"/>
      <c r="D37" s="383"/>
      <c r="E37" s="383"/>
      <c r="F37" s="383"/>
      <c r="G37" s="292"/>
      <c r="H37" s="291"/>
      <c r="I37" s="291"/>
      <c r="J37" s="291"/>
      <c r="K37" s="291"/>
      <c r="L37" s="291"/>
      <c r="M37" s="291">
        <f>SUM(M35:M36)</f>
        <v>0</v>
      </c>
    </row>
    <row r="38" spans="2:13" ht="16.5" customHeight="1">
      <c r="B38" s="386" t="s">
        <v>227</v>
      </c>
      <c r="C38" s="386"/>
      <c r="D38" s="386"/>
      <c r="E38" s="386"/>
      <c r="F38" s="386"/>
      <c r="G38" s="292">
        <v>0.18</v>
      </c>
      <c r="H38" s="291"/>
      <c r="I38" s="291"/>
      <c r="J38" s="291"/>
      <c r="K38" s="291"/>
      <c r="L38" s="291"/>
      <c r="M38" s="291">
        <f>M37*G38</f>
        <v>0</v>
      </c>
    </row>
    <row r="39" spans="2:13" ht="16.5" customHeight="1">
      <c r="B39" s="383" t="s">
        <v>228</v>
      </c>
      <c r="C39" s="383"/>
      <c r="D39" s="383"/>
      <c r="E39" s="383"/>
      <c r="F39" s="383"/>
      <c r="G39" s="295"/>
      <c r="H39" s="291"/>
      <c r="I39" s="291"/>
      <c r="J39" s="291"/>
      <c r="K39" s="291"/>
      <c r="L39" s="291"/>
      <c r="M39" s="296">
        <f>SUM(M37:M38)</f>
        <v>0</v>
      </c>
    </row>
    <row r="40" ht="19.5">
      <c r="E40" s="297"/>
    </row>
  </sheetData>
  <sheetProtection/>
  <mergeCells count="30">
    <mergeCell ref="F6:F8"/>
    <mergeCell ref="K7:K8"/>
    <mergeCell ref="A2:M2"/>
    <mergeCell ref="B3:M3"/>
    <mergeCell ref="B5:B8"/>
    <mergeCell ref="C5:C8"/>
    <mergeCell ref="D5:D8"/>
    <mergeCell ref="E5:F5"/>
    <mergeCell ref="G5:M5"/>
    <mergeCell ref="E6:E8"/>
    <mergeCell ref="B34:F34"/>
    <mergeCell ref="G6:H6"/>
    <mergeCell ref="B29:F29"/>
    <mergeCell ref="I6:J6"/>
    <mergeCell ref="K6:L6"/>
    <mergeCell ref="M6:M8"/>
    <mergeCell ref="G7:G8"/>
    <mergeCell ref="H7:H8"/>
    <mergeCell ref="I7:I8"/>
    <mergeCell ref="J7:J8"/>
    <mergeCell ref="B35:F35"/>
    <mergeCell ref="L7:L8"/>
    <mergeCell ref="B36:F36"/>
    <mergeCell ref="B37:F37"/>
    <mergeCell ref="B38:F38"/>
    <mergeCell ref="B39:F39"/>
    <mergeCell ref="B30:F30"/>
    <mergeCell ref="B31:F31"/>
    <mergeCell ref="B32:F32"/>
    <mergeCell ref="B33:F3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Konex-3</dc:creator>
  <cp:keywords/>
  <dc:description/>
  <cp:lastModifiedBy>dato</cp:lastModifiedBy>
  <cp:lastPrinted>2015-02-10T07:01:06Z</cp:lastPrinted>
  <dcterms:created xsi:type="dcterms:W3CDTF">2004-12-20T11:27:35Z</dcterms:created>
  <dcterms:modified xsi:type="dcterms:W3CDTF">2015-02-11T11:02:46Z</dcterms:modified>
  <cp:category/>
  <cp:version/>
  <cp:contentType/>
  <cp:contentStatus/>
</cp:coreProperties>
</file>