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4"/>
  </bookViews>
  <sheets>
    <sheet name="1-2" sheetId="1" r:id="rId1"/>
    <sheet name="axali-2015-7" sheetId="2" r:id="rId2"/>
    <sheet name="saboloo-7" sheetId="3" r:id="rId3"/>
    <sheet name="Лист1" sheetId="4" r:id="rId4"/>
    <sheet name="satendero" sheetId="5" r:id="rId5"/>
  </sheets>
  <definedNames/>
  <calcPr fullCalcOnLoad="1"/>
</workbook>
</file>

<file path=xl/sharedStrings.xml><?xml version="1.0" encoding="utf-8"?>
<sst xmlns="http://schemas.openxmlformats.org/spreadsheetml/2006/main" count="612" uniqueCount="257">
  <si>
    <t># #</t>
  </si>
  <si>
    <t>samuSaoebisa da danaxarjebis dasaxeleba</t>
  </si>
  <si>
    <t>raodenoba</t>
  </si>
  <si>
    <t>sul</t>
  </si>
  <si>
    <t>_</t>
  </si>
  <si>
    <t>kg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</si>
  <si>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</si>
  <si>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</si>
  <si>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</si>
  <si>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</si>
  <si>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</si>
  <si>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</si>
  <si>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</si>
  <si>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</si>
  <si>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</si>
  <si>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</si>
  <si>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saxarjTaRricxvo Rirebuleba</t>
  </si>
  <si>
    <t>erTeuli</t>
  </si>
  <si>
    <t>dRg-s CaTvliT</t>
  </si>
  <si>
    <t>maT Soris dRg</t>
  </si>
  <si>
    <t>dRg - 18%</t>
  </si>
  <si>
    <t>mTlianad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</si>
  <si>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</si>
  <si>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lari</t>
  </si>
  <si>
    <t>.15-614</t>
  </si>
  <si>
    <t>sabazro fasebi</t>
  </si>
  <si>
    <t>m-sT</t>
  </si>
  <si>
    <t>k-sT</t>
  </si>
  <si>
    <t xml:space="preserve">_SromiTi danaxarji             </t>
  </si>
  <si>
    <t>sabazro</t>
  </si>
  <si>
    <t>Rirebuleba (lari)</t>
  </si>
  <si>
    <t>grZ/m</t>
  </si>
  <si>
    <t>zednadebi xarjebi 10%</t>
  </si>
  <si>
    <t>gegmiuri dagroveba 8%</t>
  </si>
  <si>
    <t>1-949</t>
  </si>
  <si>
    <t>p-3-72</t>
  </si>
  <si>
    <t>ormoebis amoReba boZebis dayenebis adgilebSi ormoamomTxremi manqaniT</t>
  </si>
  <si>
    <t>meqanizmebi</t>
  </si>
  <si>
    <t>ormoamomTxreli manqana</t>
  </si>
  <si>
    <t xml:space="preserve">_meqanizmebi             </t>
  </si>
  <si>
    <t>ormoebis Sevseba bet. b-15</t>
  </si>
  <si>
    <t>.6-20</t>
  </si>
  <si>
    <t>srf2.1-65</t>
  </si>
  <si>
    <t>srf2.1-21</t>
  </si>
  <si>
    <t>8-409-3</t>
  </si>
  <si>
    <t>metalis boZebis SeRebva antikoroziuli saRebaviT orjer</t>
  </si>
  <si>
    <t>damat. -1</t>
  </si>
  <si>
    <t xml:space="preserve">saRebavis Rirebuleba </t>
  </si>
  <si>
    <t>saden-kabelebis mowyoba da montaJi</t>
  </si>
  <si>
    <t>srf 7-254</t>
  </si>
  <si>
    <t>CamWeri</t>
  </si>
  <si>
    <t>Sualeduri damWeri</t>
  </si>
  <si>
    <t>ankeruli damWeri</t>
  </si>
  <si>
    <t>СКЦЭ-84</t>
  </si>
  <si>
    <t xml:space="preserve">         jami</t>
  </si>
  <si>
    <t xml:space="preserve">lokalur-resursuli xarjTaRricxva </t>
  </si>
  <si>
    <t>gauTvaliswinebeli xarjebi - 3 %</t>
  </si>
  <si>
    <t>spilenZis el-sadenenis  2X2,5 Rirebuleba</t>
  </si>
  <si>
    <r>
      <t xml:space="preserve"> m</t>
    </r>
    <r>
      <rPr>
        <vertAlign val="superscript"/>
        <sz val="12"/>
        <color indexed="8"/>
        <rFont val="AcadNusx"/>
        <family val="0"/>
      </rPr>
      <t>3</t>
    </r>
  </si>
  <si>
    <t>liTonis mili d=139X4 mm</t>
  </si>
  <si>
    <t>liTonis mili d=51X3 mm</t>
  </si>
  <si>
    <r>
      <t xml:space="preserve"> m</t>
    </r>
    <r>
      <rPr>
        <vertAlign val="superscript"/>
        <sz val="12"/>
        <color indexed="8"/>
        <rFont val="AcadNusx"/>
        <family val="0"/>
      </rPr>
      <t>2</t>
    </r>
  </si>
  <si>
    <t>srf 12-96</t>
  </si>
  <si>
    <t>satransporto xarjebi Sida gadazidvebze_3 %</t>
  </si>
  <si>
    <t>sip-sadenis 4X16 Rirebuleba</t>
  </si>
  <si>
    <r>
      <t xml:space="preserve">Sedgenilia: </t>
    </r>
    <r>
      <rPr>
        <sz val="12"/>
        <rFont val="AcadNusx"/>
        <family val="0"/>
      </rPr>
      <t>1984wlis saxarjTaRricxvo normativebisa da 2014 wlis I kvartlis sabazro resursul fasebSi</t>
    </r>
  </si>
  <si>
    <t>el.sanaTi 70vt.</t>
  </si>
  <si>
    <t>Seadgina: i/m akaki futkaraZe</t>
  </si>
  <si>
    <t xml:space="preserve">       direqtori:              a. futkaraZe</t>
  </si>
  <si>
    <t>betonis Rirebuleba transportirebiT b-15</t>
  </si>
  <si>
    <t>9 maisis quCis gare ganaTebis  mowyobis</t>
  </si>
  <si>
    <t>liTonis ganaTebis boZebis damzadeba da mowyoba betonSi</t>
  </si>
  <si>
    <r>
      <t xml:space="preserve">el-mowyobilobebisa da  sanaTebis 70 </t>
    </r>
    <r>
      <rPr>
        <sz val="12"/>
        <color indexed="8"/>
        <rFont val="Adobe Garamond Pro Bold"/>
        <family val="1"/>
      </rPr>
      <t>WT</t>
    </r>
    <r>
      <rPr>
        <sz val="12"/>
        <color indexed="8"/>
        <rFont val="AcadNusx"/>
        <family val="0"/>
      </rPr>
      <t xml:space="preserve"> (11 c) damontaJeba arsebul qvesadgurSi</t>
    </r>
  </si>
  <si>
    <t xml:space="preserve">savaraudo xarjTaRricxva </t>
  </si>
  <si>
    <r>
      <t xml:space="preserve">Sedgenilia: </t>
    </r>
    <r>
      <rPr>
        <sz val="12"/>
        <rFont val="AcadNusx"/>
        <family val="0"/>
      </rPr>
      <t>1984 wlis saxarjTaRricxvo normativebisa da 2014 wlis IV kvartlis sabazro resursul fasebSi</t>
    </r>
  </si>
  <si>
    <t>sn da w. IV-84w.
1-50</t>
  </si>
  <si>
    <t>ormoebis amoReba boZebis dayenebis adgilebSi ormoamomTxremi manqaniT da damuSaveba xeliT</t>
  </si>
  <si>
    <t>srf117-286</t>
  </si>
  <si>
    <t>saburRi manqana-avtoamwe</t>
  </si>
  <si>
    <t xml:space="preserve">sabazro </t>
  </si>
  <si>
    <t xml:space="preserve">betoni b-15 transportirebiT 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</si>
  <si>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</si>
  <si>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>sn da w. IV-84w.
9-19-1</t>
  </si>
  <si>
    <t xml:space="preserve"> liTonis ganaTebis boZebis damzadeba da montaJi cali14</t>
  </si>
  <si>
    <t>t</t>
  </si>
  <si>
    <t>kc/sT</t>
  </si>
  <si>
    <t>sxva manqanebi</t>
  </si>
  <si>
    <t>srf 2-70</t>
  </si>
  <si>
    <t>liTonis mili d=139X4mm</t>
  </si>
  <si>
    <t>gr/m</t>
  </si>
  <si>
    <t>pr</t>
  </si>
  <si>
    <t>srf 2-19</t>
  </si>
  <si>
    <t>liTonis mili d=50X3mm</t>
  </si>
  <si>
    <t>srf 2-16</t>
  </si>
  <si>
    <t>liTonis mili d=40X3,5mm</t>
  </si>
  <si>
    <t>srf 1,5-29</t>
  </si>
  <si>
    <t>liTonis furceli 2,5mm sisqis 14-cali boZis qudisTvis d=139X3mm</t>
  </si>
  <si>
    <r>
      <t xml:space="preserve"> m</t>
    </r>
    <r>
      <rPr>
        <vertAlign val="superscript"/>
        <sz val="10"/>
        <color indexed="8"/>
        <rFont val="AcadNusx"/>
        <family val="0"/>
      </rPr>
      <t>2</t>
    </r>
  </si>
  <si>
    <t>srf 1,1-22</t>
  </si>
  <si>
    <t>liTonis glinula d=10mm kauWi sigrZiT 17sm</t>
  </si>
  <si>
    <t>m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</si>
  <si>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Zbva230, dura aluminis hermetiuli korpusiT. Qquro-e-27  </t>
    </r>
    <r>
      <rPr>
        <sz val="10"/>
        <color indexed="8"/>
        <rFont val="Calibri"/>
        <family val="2"/>
      </rPr>
      <t>IP-65</t>
    </r>
  </si>
  <si>
    <t>srf12-286</t>
  </si>
  <si>
    <t>mq/sT</t>
  </si>
  <si>
    <t>srf1-9-14</t>
  </si>
  <si>
    <t>eleqtrodi</t>
  </si>
  <si>
    <t>kg.</t>
  </si>
  <si>
    <t>sxva masalebi</t>
  </si>
  <si>
    <t>sn da w. IV-84w.
15-164-7</t>
  </si>
  <si>
    <r>
      <t xml:space="preserve"> m</t>
    </r>
    <r>
      <rPr>
        <b/>
        <vertAlign val="superscript"/>
        <sz val="10"/>
        <color indexed="8"/>
        <rFont val="AcadNusx"/>
        <family val="0"/>
      </rPr>
      <t>2</t>
    </r>
  </si>
  <si>
    <t>srf 4,2-23</t>
  </si>
  <si>
    <t>saRebavis ZeTovani, marali xarisxis</t>
  </si>
  <si>
    <t>sn da w. IV-84w.
34-119-8</t>
  </si>
  <si>
    <t xml:space="preserve"> saden-kabelebis 
montaJi liTonis boZebze </t>
  </si>
  <si>
    <t>saden-kabelebis montaJi</t>
  </si>
  <si>
    <t>kac.sT</t>
  </si>
  <si>
    <t>34-119,8</t>
  </si>
  <si>
    <t>srf12,-77</t>
  </si>
  <si>
    <t>koSkura teleskopuri 0,35tn</t>
  </si>
  <si>
    <t>manq.sT</t>
  </si>
  <si>
    <t>srf7,4-112</t>
  </si>
  <si>
    <r>
      <rPr>
        <sz val="10"/>
        <color indexed="8"/>
        <rFont val="Grigolia"/>
        <family val="0"/>
      </rPr>
      <t>aluminis izolirebuli  sadeni</t>
    </r>
    <r>
      <rPr>
        <sz val="10"/>
        <color indexed="8"/>
        <rFont val="Arial"/>
        <family val="2"/>
      </rPr>
      <t xml:space="preserve">  ABBГ</t>
    </r>
    <r>
      <rPr>
        <sz val="10"/>
        <color indexed="8"/>
        <rFont val="AcadNusx"/>
        <family val="0"/>
      </rPr>
      <t>4X16</t>
    </r>
  </si>
  <si>
    <t>grZ.m</t>
  </si>
  <si>
    <t>srf 7,2 b)-81</t>
  </si>
  <si>
    <r>
      <t>spilenZis ZarRviTABB</t>
    </r>
    <r>
      <rPr>
        <sz val="10"/>
        <color indexed="8"/>
        <rFont val="Arial"/>
        <family val="2"/>
      </rPr>
      <t xml:space="preserve">ППВ-3  </t>
    </r>
    <r>
      <rPr>
        <sz val="10"/>
        <color indexed="8"/>
        <rFont val="AcadNusx"/>
        <family val="0"/>
      </rPr>
      <t>2X2,5</t>
    </r>
  </si>
  <si>
    <t>mxvretavi damWeri</t>
  </si>
  <si>
    <t>satransporto xarjebi Sida gadazidvebze masalidan</t>
  </si>
  <si>
    <t xml:space="preserve"> </t>
  </si>
  <si>
    <t xml:space="preserve">zednadebi xarjebi </t>
  </si>
  <si>
    <t xml:space="preserve">gegmiuri dagroveba </t>
  </si>
  <si>
    <t xml:space="preserve">gauTvaliswinebeli xarjebi </t>
  </si>
  <si>
    <t xml:space="preserve">dRg </t>
  </si>
  <si>
    <t xml:space="preserve">           Seadgina:   i/m "akaki futkaraZe"-s</t>
  </si>
  <si>
    <t>Sesaxvevi</t>
  </si>
  <si>
    <t>Cixi</t>
  </si>
  <si>
    <t>9 maisis quCis, Sesaxvevisa da Cixis  gare ganaTebis  mowyobis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</si>
  <si>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</si>
  <si>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sazomi 
erTeuli</t>
  </si>
  <si>
    <t>sn da w. IV-84w. 6-2-1</t>
  </si>
  <si>
    <t>sazomi
 erTeuli</t>
  </si>
  <si>
    <t>sn da w. IV-84w. 33-303-2</t>
  </si>
  <si>
    <t>ormoebis amoReba boZebis dayenebis adgilebSi ormoamomTxremi manqaniT da montaJi</t>
  </si>
  <si>
    <t xml:space="preserve">_SromiTi danaxarji   sirTuli k=1,15          </t>
  </si>
  <si>
    <t xml:space="preserve">saburRi manqana-avtoamwe sirTulis k=1,15 </t>
  </si>
  <si>
    <t>sn da w. IV-84w. 33-303-4</t>
  </si>
  <si>
    <t xml:space="preserve"> liTonis ganaTebis boZebis damzadeba </t>
  </si>
  <si>
    <t>sxva manqanebi( SemduRebelia agregati, balgarka)</t>
  </si>
  <si>
    <t xml:space="preserve">liTonis mili d=40X3,0mm </t>
  </si>
  <si>
    <t>sxva masalebi (balgarkis diski, el energia)</t>
  </si>
  <si>
    <t>srf12-</t>
  </si>
  <si>
    <t>saRebavis zeTovani, maRali xarisxis</t>
  </si>
  <si>
    <t>sn da w. IV-84w.
21-26-8</t>
  </si>
  <si>
    <t xml:space="preserve"> sanaTebis
montaJi liTonis boZebze </t>
  </si>
  <si>
    <t xml:space="preserve">Sromis danaxarji </t>
  </si>
  <si>
    <t>koSkura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</si>
  <si>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 230V, dura aluminis  korpusiT. quro-e-27 </t>
    </r>
    <r>
      <rPr>
        <sz val="11"/>
        <color indexed="8"/>
        <rFont val="Calibri"/>
        <family val="2"/>
      </rPr>
      <t>IP-65</t>
    </r>
  </si>
  <si>
    <t>sn da w. IV-84w.
33-115-2</t>
  </si>
  <si>
    <t>Sromis danaxarji (34,4+1,48X20)/1000</t>
  </si>
  <si>
    <t>sxva manqanebi (3,21+20X0,09)/1000</t>
  </si>
  <si>
    <t>koSkura teleskopuri 0,35tn  (12,7+0,82X20)/1000 Xk=1,15</t>
  </si>
  <si>
    <t>wona  1m.</t>
  </si>
  <si>
    <t xml:space="preserve"> ABBГ4X16</t>
  </si>
  <si>
    <t xml:space="preserve"> ABBГ4X25</t>
  </si>
  <si>
    <t>milebis transportireba  100km-ze</t>
  </si>
  <si>
    <t>srf. 12-14</t>
  </si>
  <si>
    <t>milmzdi saavtomobilo svlaze 9t.</t>
  </si>
  <si>
    <t>samuSaoTa dasaxeleba</t>
  </si>
  <si>
    <t>ganzom.</t>
  </si>
  <si>
    <t xml:space="preserve">ormoebis amoReba boZebis dayenebis adgilebSi ormoamomTxremi manqaniT </t>
  </si>
  <si>
    <t>ganaTebis boZebis montaJi</t>
  </si>
  <si>
    <t>saZirkvlebis Sevseba betoniT b-15</t>
  </si>
  <si>
    <r>
      <t xml:space="preserve"> m</t>
    </r>
    <r>
      <rPr>
        <vertAlign val="superscript"/>
        <sz val="11"/>
        <color indexed="8"/>
        <rFont val="AcadNusx"/>
        <family val="0"/>
      </rPr>
      <t>3</t>
    </r>
  </si>
  <si>
    <t xml:space="preserve">saden-kabelis montaJi </t>
  </si>
  <si>
    <t>maT Soris  АВВГ 4X16</t>
  </si>
  <si>
    <t>maT Soris  ППВ 2X2,5</t>
  </si>
  <si>
    <t>sanaTi lapioni 70vt.</t>
  </si>
  <si>
    <t>kabelis 
kveTi</t>
  </si>
  <si>
    <t>boZebis
raodenoba</t>
  </si>
  <si>
    <t>kabelis 
sigrZe</t>
  </si>
  <si>
    <t>kabelis
 Camozneqvis 
koeficienti 2%</t>
  </si>
  <si>
    <t>mTliani sigrZe</t>
  </si>
  <si>
    <t>АВВГ 4x16</t>
  </si>
  <si>
    <t>ППИ-3 2x2,5</t>
  </si>
  <si>
    <t>m i l e b i s   s p e c i f i k a c i a</t>
  </si>
  <si>
    <t>dasax
eleba</t>
  </si>
  <si>
    <t>pozicia
 #</t>
  </si>
  <si>
    <t>zomebi 
mm.</t>
  </si>
  <si>
    <t>sigrZe
mm.</t>
  </si>
  <si>
    <t>raodenoba
cali</t>
  </si>
  <si>
    <t>saerTo
 sigrZe
m.</t>
  </si>
  <si>
    <t>wona
kg.</t>
  </si>
  <si>
    <t>mTliani 
wona</t>
  </si>
  <si>
    <t>gare ganaTebis boZi</t>
  </si>
  <si>
    <t>ф-139X4</t>
  </si>
  <si>
    <t>ф-50X3</t>
  </si>
  <si>
    <t>sul kg.</t>
  </si>
  <si>
    <t>maqanata
raodenoba</t>
  </si>
  <si>
    <t xml:space="preserve">ormoebis amoReba ormoamomTxremi manqaniT </t>
  </si>
  <si>
    <t>lTonis ganaTebis boZebis montaJi</t>
  </si>
  <si>
    <t>1. saburRi manqana a/amwe</t>
  </si>
  <si>
    <t>saden-kabelisa da sanaTebis montaJi</t>
  </si>
  <si>
    <t>amwekalaTa, (koSkura teleskopuri)</t>
  </si>
  <si>
    <t>ф-40X3</t>
  </si>
  <si>
    <t>liTonis furceli 2,5mm sisqis</t>
  </si>
  <si>
    <r>
      <t xml:space="preserve"> m</t>
    </r>
    <r>
      <rPr>
        <vertAlign val="superscript"/>
        <sz val="11"/>
        <color indexed="8"/>
        <rFont val="AcadNusx"/>
        <family val="0"/>
      </rPr>
      <t>2</t>
    </r>
  </si>
  <si>
    <t xml:space="preserve">liTonis glinula d=10mm </t>
  </si>
  <si>
    <t>gr.m.</t>
  </si>
  <si>
    <t>liTonis furceli 2,5mm sisqis  boZebis qudisTvis d=139X3mm</t>
  </si>
  <si>
    <t>9 მაისის ქუჩის, შესახვევისა და ჩიხის გარე განათების მოწყობის</t>
  </si>
  <si>
    <t>ხარჯთაღრიცხვა</t>
  </si>
  <si>
    <t>№</t>
  </si>
  <si>
    <t>სამუშაოების და დანახარჯების დასახელება</t>
  </si>
  <si>
    <t>საზომი ერთეული</t>
  </si>
  <si>
    <t>რაოდენობა</t>
  </si>
  <si>
    <t>ღირებულება (ლარი)</t>
  </si>
  <si>
    <t>ნორმატივით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</si>
  <si>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</si>
  <si>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</si>
  <si>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</si>
  <si>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</si>
  <si>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</si>
  <si>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</si>
  <si>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</si>
  <si>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სატრანსპორტო ხარჯები შიდა გადაზიდვებზე მასალიდან</t>
  </si>
  <si>
    <t>ზედნადები ხარჯები</t>
  </si>
  <si>
    <t>გეგმიური დაგროვება</t>
  </si>
  <si>
    <t>გაუთვალისწინებელი ხარჯი</t>
  </si>
  <si>
    <t>დღგ</t>
  </si>
  <si>
    <t>მთლიანად</t>
  </si>
  <si>
    <t>ორმოების ამოღება ბოძების დაყენების ადგილებში ორმოამომთხრელი მანქანით და მონტაჟი</t>
  </si>
  <si>
    <t>ცალი</t>
  </si>
  <si>
    <t>ორმოების შევსება ბეტ. ბ-15</t>
  </si>
  <si>
    <r>
      <t>მ</t>
    </r>
    <r>
      <rPr>
        <b/>
        <sz val="10"/>
        <color indexed="8"/>
        <rFont val="Calibri"/>
        <family val="2"/>
      </rPr>
      <t>³</t>
    </r>
  </si>
  <si>
    <t>ბეტონი ბ-15 ტრანსპორტირებით</t>
  </si>
  <si>
    <t>ლითონის განათების ბოძების დამზადება</t>
  </si>
  <si>
    <t>ლითონის მილი დ=139X4მმ</t>
  </si>
  <si>
    <t>გრ/მ</t>
  </si>
  <si>
    <t>ლითონის მილი დ=50X3მმ</t>
  </si>
  <si>
    <t>ლითონის მილი დ=40X3,0მმ</t>
  </si>
  <si>
    <r>
      <t>მ</t>
    </r>
    <r>
      <rPr>
        <sz val="10"/>
        <color indexed="8"/>
        <rFont val="Calibri"/>
        <family val="2"/>
      </rPr>
      <t>²</t>
    </r>
  </si>
  <si>
    <t>ლითონის გლინულა დ=10მმ კაუჭი სიგრძით 17სმ</t>
  </si>
  <si>
    <t>მ</t>
  </si>
  <si>
    <t>მეტალის ბოძების შეღებვა ანტიკოროზიული საღებავით ორჯერ</t>
  </si>
  <si>
    <r>
      <t>მ</t>
    </r>
    <r>
      <rPr>
        <b/>
        <sz val="10"/>
        <color indexed="8"/>
        <rFont val="Calibri"/>
        <family val="2"/>
      </rPr>
      <t>²</t>
    </r>
  </si>
  <si>
    <t>საღებავი ზეთოვანი, მაღალი ხარისხის</t>
  </si>
  <si>
    <t>კგ</t>
  </si>
  <si>
    <t>სანათების მონტაჟი ლითონის ბოძებზე</t>
  </si>
  <si>
    <r>
      <t xml:space="preserve">სანათი (56X26X17) -(70 </t>
    </r>
    <r>
      <rPr>
        <sz val="10"/>
        <color indexed="8"/>
        <rFont val="Sylfaen"/>
        <family val="1"/>
      </rPr>
      <t xml:space="preserve">W), სიმძლავრე 35-125W, სიხშირე 50ჰც, ძაბვა 230V, დურა ალუმინის კორპუსით. ქურო-ე-27  </t>
    </r>
    <r>
      <rPr>
        <sz val="11"/>
        <color indexed="8"/>
        <rFont val="Sylfaen"/>
        <family val="1"/>
      </rPr>
      <t>IP-65</t>
    </r>
  </si>
  <si>
    <t>სადენ-კაბელების მონტაჟი ლითონის ბოძებზე</t>
  </si>
  <si>
    <t>გრძ.მ</t>
  </si>
  <si>
    <t>ალუმინის იზოლირებული სადენი  ABBГ4X16</t>
  </si>
  <si>
    <t>სპილენძის ძარღვით ППВ-3  2X2,5</t>
  </si>
  <si>
    <t>მხვრეტავი დამჭერი</t>
  </si>
  <si>
    <t>შუალედური დამჭერი</t>
  </si>
  <si>
    <t>ანკერული დამჭერი</t>
  </si>
  <si>
    <t>პრ</t>
  </si>
  <si>
    <t>ლითონის ფურცელი 2,5მმ სისქის ბოძების ქუდისთვის დ=139X3მმ</t>
  </si>
</sst>
</file>

<file path=xl/styles.xml><?xml version="1.0" encoding="utf-8"?>
<styleSheet xmlns="http://schemas.openxmlformats.org/spreadsheetml/2006/main">
  <numFmts count="3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0.0%"/>
  </numFmts>
  <fonts count="107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0"/>
      <name val="Tahoma"/>
      <family val="2"/>
    </font>
    <font>
      <b/>
      <sz val="14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cadNusx"/>
      <family val="0"/>
    </font>
    <font>
      <b/>
      <sz val="12"/>
      <name val="Grigoli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4"/>
      <name val="Grigolia"/>
      <family val="0"/>
    </font>
    <font>
      <sz val="12"/>
      <color indexed="8"/>
      <name val="Adobe Garamond Pro Bold"/>
      <family val="1"/>
    </font>
    <font>
      <b/>
      <sz val="14"/>
      <name val="Grigolia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i/>
      <sz val="10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b/>
      <vertAlign val="superscript"/>
      <sz val="10"/>
      <color indexed="8"/>
      <name val="AcadNusx"/>
      <family val="0"/>
    </font>
    <font>
      <sz val="10"/>
      <color indexed="8"/>
      <name val="Grigolia"/>
      <family val="0"/>
    </font>
    <font>
      <sz val="10"/>
      <name val="AcadMtavr"/>
      <family val="0"/>
    </font>
    <font>
      <sz val="11"/>
      <color indexed="8"/>
      <name val="Calibri"/>
      <family val="2"/>
    </font>
    <font>
      <sz val="10"/>
      <name val="AcadNusx_lb"/>
      <family val="1"/>
    </font>
    <font>
      <b/>
      <i/>
      <sz val="10"/>
      <name val="Arial Cyr"/>
      <family val="0"/>
    </font>
    <font>
      <sz val="11"/>
      <name val="AcadNusx_lb"/>
      <family val="1"/>
    </font>
    <font>
      <vertAlign val="superscript"/>
      <sz val="11"/>
      <color indexed="8"/>
      <name val="AcadNusx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b/>
      <i/>
      <sz val="10"/>
      <name val="Grigolia"/>
      <family val="0"/>
    </font>
    <font>
      <b/>
      <i/>
      <sz val="10"/>
      <name val="AcadMtavr"/>
      <family val="0"/>
    </font>
    <font>
      <sz val="11"/>
      <name val="Grigolia"/>
      <family val="0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14"/>
      <name val="Sylfae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b/>
      <sz val="14"/>
      <color indexed="10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sz val="8"/>
      <color indexed="8"/>
      <name val="AcadNusx"/>
      <family val="0"/>
    </font>
    <font>
      <b/>
      <sz val="10"/>
      <color indexed="10"/>
      <name val="Arial Cyr"/>
      <family val="0"/>
    </font>
    <font>
      <sz val="9"/>
      <color indexed="8"/>
      <name val="AcadNusx"/>
      <family val="0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u val="single"/>
      <sz val="12"/>
      <color theme="1"/>
      <name val="AcadNusx"/>
      <family val="0"/>
    </font>
    <font>
      <b/>
      <sz val="14"/>
      <color rgb="FFFF0000"/>
      <name val="Acad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sz val="8"/>
      <color theme="1"/>
      <name val="AcadNusx"/>
      <family val="0"/>
    </font>
    <font>
      <b/>
      <sz val="10"/>
      <color rgb="FFFF0000"/>
      <name val="Arial Cyr"/>
      <family val="0"/>
    </font>
    <font>
      <sz val="9"/>
      <color theme="1"/>
      <name val="AcadNusx"/>
      <family val="0"/>
    </font>
    <font>
      <sz val="12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top" wrapText="1"/>
    </xf>
    <xf numFmtId="181" fontId="93" fillId="0" borderId="11" xfId="0" applyNumberFormat="1" applyFont="1" applyBorder="1" applyAlignment="1">
      <alignment horizontal="center" vertical="center" wrapText="1"/>
    </xf>
    <xf numFmtId="0" fontId="93" fillId="0" borderId="12" xfId="0" applyFont="1" applyBorder="1" applyAlignment="1">
      <alignment horizontal="left" vertical="center" wrapText="1"/>
    </xf>
    <xf numFmtId="0" fontId="93" fillId="0" borderId="12" xfId="0" applyFont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left" vertical="center" wrapText="1"/>
    </xf>
    <xf numFmtId="2" fontId="93" fillId="0" borderId="11" xfId="0" applyNumberFormat="1" applyFont="1" applyBorder="1" applyAlignment="1">
      <alignment horizontal="center" vertical="center" wrapText="1"/>
    </xf>
    <xf numFmtId="2" fontId="93" fillId="0" borderId="12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93" fillId="0" borderId="11" xfId="0" applyFont="1" applyBorder="1" applyAlignment="1">
      <alignment horizontal="left" vertical="center" wrapText="1"/>
    </xf>
    <xf numFmtId="181" fontId="94" fillId="0" borderId="10" xfId="0" applyNumberFormat="1" applyFont="1" applyBorder="1" applyAlignment="1">
      <alignment horizontal="center" vertical="center" wrapText="1"/>
    </xf>
    <xf numFmtId="14" fontId="93" fillId="0" borderId="14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181" fontId="95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center" vertical="top" wrapText="1"/>
    </xf>
    <xf numFmtId="181" fontId="93" fillId="0" borderId="14" xfId="0" applyNumberFormat="1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center" vertical="center" wrapText="1"/>
    </xf>
    <xf numFmtId="181" fontId="93" fillId="0" borderId="19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1" fontId="3" fillId="0" borderId="12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3" fillId="0" borderId="12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top" wrapText="1"/>
    </xf>
    <xf numFmtId="181" fontId="9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1" fontId="1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93" fillId="0" borderId="20" xfId="0" applyFont="1" applyBorder="1" applyAlignment="1">
      <alignment horizontal="center" vertical="center" wrapText="1"/>
    </xf>
    <xf numFmtId="17" fontId="93" fillId="0" borderId="14" xfId="0" applyNumberFormat="1" applyFont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94" fillId="0" borderId="20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181" fontId="3" fillId="0" borderId="17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181" fontId="93" fillId="0" borderId="10" xfId="0" applyNumberFormat="1" applyFont="1" applyBorder="1" applyAlignment="1">
      <alignment horizontal="center" vertical="center" wrapText="1"/>
    </xf>
    <xf numFmtId="181" fontId="9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0" fillId="0" borderId="22" xfId="0" applyFont="1" applyBorder="1" applyAlignment="1">
      <alignment horizontal="center"/>
    </xf>
    <xf numFmtId="49" fontId="97" fillId="0" borderId="12" xfId="0" applyNumberFormat="1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23" xfId="0" applyFont="1" applyBorder="1" applyAlignment="1">
      <alignment vertical="center" wrapText="1"/>
    </xf>
    <xf numFmtId="0" fontId="97" fillId="0" borderId="24" xfId="0" applyFont="1" applyBorder="1" applyAlignment="1">
      <alignment vertical="center" wrapText="1"/>
    </xf>
    <xf numFmtId="0" fontId="97" fillId="0" borderId="25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/>
    </xf>
    <xf numFmtId="179" fontId="97" fillId="0" borderId="10" xfId="6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top" wrapText="1"/>
    </xf>
    <xf numFmtId="0" fontId="97" fillId="0" borderId="22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left" vertical="center" wrapText="1"/>
    </xf>
    <xf numFmtId="2" fontId="97" fillId="0" borderId="22" xfId="0" applyNumberFormat="1" applyFont="1" applyBorder="1" applyAlignment="1">
      <alignment horizontal="center" vertical="center" wrapText="1"/>
    </xf>
    <xf numFmtId="179" fontId="97" fillId="0" borderId="22" xfId="6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181" fontId="97" fillId="0" borderId="12" xfId="0" applyNumberFormat="1" applyFont="1" applyBorder="1" applyAlignment="1">
      <alignment horizontal="center" vertical="center" wrapText="1"/>
    </xf>
    <xf numFmtId="179" fontId="97" fillId="0" borderId="12" xfId="60" applyFont="1" applyBorder="1" applyAlignment="1">
      <alignment horizontal="center" vertical="center" wrapText="1"/>
    </xf>
    <xf numFmtId="181" fontId="97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top"/>
    </xf>
    <xf numFmtId="2" fontId="97" fillId="0" borderId="10" xfId="0" applyNumberFormat="1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181" fontId="21" fillId="0" borderId="2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98" fillId="0" borderId="27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180" fontId="99" fillId="0" borderId="10" xfId="0" applyNumberFormat="1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wrapText="1"/>
    </xf>
    <xf numFmtId="180" fontId="97" fillId="0" borderId="10" xfId="0" applyNumberFormat="1" applyFont="1" applyBorder="1" applyAlignment="1">
      <alignment horizontal="center" vertical="center" wrapText="1"/>
    </xf>
    <xf numFmtId="0" fontId="97" fillId="0" borderId="12" xfId="0" applyFont="1" applyBorder="1" applyAlignment="1">
      <alignment horizontal="left" vertical="center" wrapText="1"/>
    </xf>
    <xf numFmtId="2" fontId="97" fillId="0" borderId="12" xfId="0" applyNumberFormat="1" applyFont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98" fillId="0" borderId="11" xfId="0" applyFont="1" applyBorder="1" applyAlignment="1">
      <alignment vertical="center" wrapText="1"/>
    </xf>
    <xf numFmtId="180" fontId="97" fillId="0" borderId="12" xfId="0" applyNumberFormat="1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wrapText="1"/>
    </xf>
    <xf numFmtId="0" fontId="97" fillId="0" borderId="22" xfId="0" applyFont="1" applyBorder="1" applyAlignment="1">
      <alignment vertical="center" wrapText="1"/>
    </xf>
    <xf numFmtId="0" fontId="99" fillId="0" borderId="28" xfId="0" applyFont="1" applyBorder="1" applyAlignment="1">
      <alignment horizontal="left" vertical="center" wrapText="1"/>
    </xf>
    <xf numFmtId="0" fontId="99" fillId="0" borderId="28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181" fontId="97" fillId="0" borderId="22" xfId="0" applyNumberFormat="1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181" fontId="99" fillId="0" borderId="10" xfId="0" applyNumberFormat="1" applyFont="1" applyBorder="1" applyAlignment="1">
      <alignment horizontal="center" vertical="center" wrapText="1"/>
    </xf>
    <xf numFmtId="0" fontId="97" fillId="0" borderId="31" xfId="0" applyFont="1" applyBorder="1" applyAlignment="1">
      <alignment vertical="center" wrapText="1"/>
    </xf>
    <xf numFmtId="0" fontId="97" fillId="0" borderId="32" xfId="0" applyFont="1" applyBorder="1" applyAlignment="1">
      <alignment vertical="center" wrapText="1"/>
    </xf>
    <xf numFmtId="0" fontId="97" fillId="0" borderId="20" xfId="0" applyFont="1" applyBorder="1" applyAlignment="1">
      <alignment vertical="center" wrapText="1"/>
    </xf>
    <xf numFmtId="0" fontId="97" fillId="0" borderId="14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7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00" fillId="0" borderId="14" xfId="0" applyFont="1" applyBorder="1" applyAlignment="1">
      <alignment vertical="center" wrapText="1"/>
    </xf>
    <xf numFmtId="2" fontId="97" fillId="33" borderId="10" xfId="0" applyNumberFormat="1" applyFont="1" applyFill="1" applyBorder="1" applyAlignment="1">
      <alignment horizontal="center" vertical="center" wrapText="1"/>
    </xf>
    <xf numFmtId="1" fontId="97" fillId="0" borderId="10" xfId="0" applyNumberFormat="1" applyFont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8" fillId="33" borderId="0" xfId="0" applyFont="1" applyFill="1" applyAlignment="1">
      <alignment/>
    </xf>
    <xf numFmtId="0" fontId="99" fillId="0" borderId="12" xfId="0" applyFont="1" applyBorder="1" applyAlignment="1">
      <alignment horizontal="left" vertical="center" wrapText="1"/>
    </xf>
    <xf numFmtId="0" fontId="99" fillId="0" borderId="12" xfId="0" applyFont="1" applyBorder="1" applyAlignment="1">
      <alignment horizontal="center" vertical="center" wrapText="1"/>
    </xf>
    <xf numFmtId="2" fontId="101" fillId="0" borderId="0" xfId="0" applyNumberFormat="1" applyFont="1" applyAlignment="1">
      <alignment/>
    </xf>
    <xf numFmtId="179" fontId="97" fillId="0" borderId="23" xfId="60" applyFont="1" applyBorder="1" applyAlignment="1">
      <alignment vertical="center" wrapText="1"/>
    </xf>
    <xf numFmtId="179" fontId="97" fillId="0" borderId="24" xfId="60" applyFont="1" applyBorder="1" applyAlignment="1">
      <alignment vertical="center" wrapText="1"/>
    </xf>
    <xf numFmtId="179" fontId="97" fillId="0" borderId="25" xfId="60" applyFont="1" applyBorder="1" applyAlignment="1">
      <alignment vertical="center" wrapText="1"/>
    </xf>
    <xf numFmtId="180" fontId="99" fillId="0" borderId="12" xfId="0" applyNumberFormat="1" applyFont="1" applyBorder="1" applyAlignment="1">
      <alignment horizontal="center" vertical="center" wrapText="1"/>
    </xf>
    <xf numFmtId="0" fontId="98" fillId="0" borderId="11" xfId="0" applyFont="1" applyBorder="1" applyAlignment="1">
      <alignment wrapText="1"/>
    </xf>
    <xf numFmtId="1" fontId="8" fillId="0" borderId="12" xfId="0" applyNumberFormat="1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center"/>
    </xf>
    <xf numFmtId="49" fontId="102" fillId="0" borderId="12" xfId="0" applyNumberFormat="1" applyFont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101" fillId="34" borderId="0" xfId="0" applyFont="1" applyFill="1" applyAlignment="1">
      <alignment horizontal="center" vertical="center"/>
    </xf>
    <xf numFmtId="0" fontId="97" fillId="33" borderId="10" xfId="0" applyFont="1" applyFill="1" applyBorder="1" applyAlignment="1">
      <alignment horizontal="left" vertical="center" wrapText="1"/>
    </xf>
    <xf numFmtId="0" fontId="93" fillId="0" borderId="11" xfId="0" applyFont="1" applyBorder="1" applyAlignment="1">
      <alignment vertical="top" wrapText="1"/>
    </xf>
    <xf numFmtId="0" fontId="93" fillId="0" borderId="26" xfId="0" applyFont="1" applyBorder="1" applyAlignment="1">
      <alignment vertical="top" wrapText="1"/>
    </xf>
    <xf numFmtId="0" fontId="97" fillId="0" borderId="26" xfId="0" applyFont="1" applyBorder="1" applyAlignment="1">
      <alignment vertical="center" wrapText="1"/>
    </xf>
    <xf numFmtId="0" fontId="97" fillId="33" borderId="26" xfId="0" applyFont="1" applyFill="1" applyBorder="1" applyAlignment="1">
      <alignment horizontal="left" vertical="center" wrapText="1"/>
    </xf>
    <xf numFmtId="0" fontId="97" fillId="0" borderId="26" xfId="0" applyFont="1" applyBorder="1" applyAlignment="1">
      <alignment horizontal="center" vertical="center" wrapText="1"/>
    </xf>
    <xf numFmtId="2" fontId="97" fillId="0" borderId="26" xfId="0" applyNumberFormat="1" applyFont="1" applyBorder="1" applyAlignment="1">
      <alignment horizontal="center" vertical="center" wrapText="1"/>
    </xf>
    <xf numFmtId="179" fontId="97" fillId="0" borderId="26" xfId="60" applyFont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left" vertical="center" wrapText="1"/>
    </xf>
    <xf numFmtId="180" fontId="97" fillId="0" borderId="22" xfId="0" applyNumberFormat="1" applyFont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left" vertical="center" wrapText="1"/>
    </xf>
    <xf numFmtId="1" fontId="99" fillId="0" borderId="10" xfId="0" applyNumberFormat="1" applyFont="1" applyBorder="1" applyAlignment="1">
      <alignment horizontal="center" vertical="center" wrapText="1"/>
    </xf>
    <xf numFmtId="0" fontId="97" fillId="33" borderId="12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horizontal="center"/>
    </xf>
    <xf numFmtId="0" fontId="97" fillId="10" borderId="10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wrapText="1"/>
    </xf>
    <xf numFmtId="0" fontId="98" fillId="0" borderId="26" xfId="0" applyFont="1" applyBorder="1" applyAlignment="1">
      <alignment wrapText="1"/>
    </xf>
    <xf numFmtId="180" fontId="97" fillId="0" borderId="26" xfId="0" applyNumberFormat="1" applyFont="1" applyBorder="1" applyAlignment="1">
      <alignment horizontal="center" vertical="center" wrapText="1"/>
    </xf>
    <xf numFmtId="0" fontId="99" fillId="33" borderId="28" xfId="0" applyFont="1" applyFill="1" applyBorder="1" applyAlignment="1">
      <alignment horizontal="left" vertical="center" wrapText="1"/>
    </xf>
    <xf numFmtId="2" fontId="99" fillId="0" borderId="28" xfId="0" applyNumberFormat="1" applyFont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24" fillId="33" borderId="26" xfId="0" applyFont="1" applyFill="1" applyBorder="1" applyAlignment="1">
      <alignment horizontal="left" vertical="center" wrapText="1"/>
    </xf>
    <xf numFmtId="2" fontId="97" fillId="0" borderId="3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2" fontId="101" fillId="0" borderId="10" xfId="0" applyNumberFormat="1" applyFont="1" applyBorder="1" applyAlignment="1">
      <alignment horizontal="center" vertical="center"/>
    </xf>
    <xf numFmtId="182" fontId="97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1" fontId="97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1" fontId="8" fillId="0" borderId="12" xfId="0" applyNumberFormat="1" applyFont="1" applyBorder="1" applyAlignment="1">
      <alignment horizontal="center" vertical="center"/>
    </xf>
    <xf numFmtId="192" fontId="18" fillId="0" borderId="2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18" fillId="0" borderId="2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0" fontId="18" fillId="0" borderId="20" xfId="0" applyNumberFormat="1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97" fillId="33" borderId="10" xfId="0" applyFont="1" applyFill="1" applyBorder="1" applyAlignment="1">
      <alignment vertical="center" wrapText="1"/>
    </xf>
    <xf numFmtId="0" fontId="98" fillId="0" borderId="14" xfId="0" applyFont="1" applyBorder="1" applyAlignment="1">
      <alignment wrapText="1"/>
    </xf>
    <xf numFmtId="0" fontId="28" fillId="0" borderId="31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1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6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01" fillId="35" borderId="0" xfId="0" applyFont="1" applyFill="1" applyAlignment="1">
      <alignment horizontal="center" vertical="center"/>
    </xf>
    <xf numFmtId="2" fontId="101" fillId="35" borderId="0" xfId="0" applyNumberFormat="1" applyFont="1" applyFill="1" applyAlignment="1">
      <alignment horizontal="center" vertical="center"/>
    </xf>
    <xf numFmtId="2" fontId="32" fillId="33" borderId="1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180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42" fillId="0" borderId="21" xfId="0" applyFont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top" wrapText="1"/>
    </xf>
    <xf numFmtId="0" fontId="104" fillId="33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179" fontId="105" fillId="0" borderId="10" xfId="60" applyFont="1" applyBorder="1" applyAlignment="1">
      <alignment horizontal="center" vertical="center" wrapText="1"/>
    </xf>
    <xf numFmtId="2" fontId="105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180" fontId="104" fillId="0" borderId="10" xfId="0" applyNumberFormat="1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182" fontId="105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left" vertical="center" wrapText="1"/>
    </xf>
    <xf numFmtId="1" fontId="104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wrapText="1"/>
    </xf>
    <xf numFmtId="181" fontId="105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wrapText="1"/>
    </xf>
    <xf numFmtId="180" fontId="105" fillId="0" borderId="10" xfId="0" applyNumberFormat="1" applyFont="1" applyBorder="1" applyAlignment="1">
      <alignment horizontal="center" vertical="center" wrapText="1"/>
    </xf>
    <xf numFmtId="2" fontId="104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center" vertical="center" wrapText="1"/>
    </xf>
    <xf numFmtId="2" fontId="105" fillId="0" borderId="10" xfId="0" applyNumberFormat="1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vertical="center" wrapText="1"/>
    </xf>
    <xf numFmtId="1" fontId="105" fillId="0" borderId="10" xfId="0" applyNumberFormat="1" applyFont="1" applyBorder="1" applyAlignment="1">
      <alignment horizontal="center" vertical="center" wrapText="1"/>
    </xf>
    <xf numFmtId="181" fontId="104" fillId="0" borderId="10" xfId="0" applyNumberFormat="1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92" fontId="45" fillId="0" borderId="10" xfId="0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192" fontId="41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10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02" fillId="0" borderId="27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" fontId="17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97" fillId="0" borderId="14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33"/>
  <sheetViews>
    <sheetView zoomScale="110" zoomScaleNormal="110" zoomScalePageLayoutView="0" workbookViewId="0" topLeftCell="A34">
      <selection activeCell="A1" sqref="A1:IV1"/>
    </sheetView>
  </sheetViews>
  <sheetFormatPr defaultColWidth="9.00390625" defaultRowHeight="12.75"/>
  <cols>
    <col min="1" max="1" width="3.25390625" style="1" customWidth="1"/>
    <col min="2" max="2" width="12.375" style="1" customWidth="1"/>
    <col min="3" max="3" width="32.125" style="1" customWidth="1"/>
    <col min="4" max="4" width="8.375" style="1" customWidth="1"/>
    <col min="5" max="5" width="9.00390625" style="1" customWidth="1"/>
    <col min="6" max="6" width="10.125" style="1" customWidth="1"/>
    <col min="7" max="7" width="7.625" style="1" customWidth="1"/>
    <col min="8" max="8" width="11.00390625" style="1" customWidth="1"/>
    <col min="9" max="9" width="8.375" style="1" customWidth="1"/>
    <col min="10" max="10" width="10.75390625" style="1" customWidth="1"/>
    <col min="11" max="11" width="8.625" style="1" customWidth="1"/>
    <col min="12" max="12" width="9.375" style="1" customWidth="1"/>
    <col min="13" max="13" width="11.875" style="1" customWidth="1"/>
    <col min="14" max="14" width="9.625" style="1" customWidth="1"/>
    <col min="15" max="15" width="12.75390625" style="48" customWidth="1"/>
    <col min="16" max="16" width="8.125" style="1" customWidth="1"/>
    <col min="17" max="17" width="8.75390625" style="1" customWidth="1"/>
    <col min="18" max="20" width="9.125" style="1" customWidth="1"/>
    <col min="21" max="21" width="9.75390625" style="1" customWidth="1"/>
    <col min="22" max="22" width="9.375" style="1" customWidth="1"/>
    <col min="23" max="23" width="9.625" style="1" customWidth="1"/>
    <col min="24" max="24" width="10.875" style="1" customWidth="1"/>
    <col min="25" max="25" width="10.00390625" style="1" customWidth="1"/>
    <col min="26" max="26" width="9.75390625" style="1" customWidth="1"/>
    <col min="27" max="27" width="12.25390625" style="1" customWidth="1"/>
    <col min="28" max="16384" width="9.125" style="1" customWidth="1"/>
  </cols>
  <sheetData>
    <row r="1" spans="1:125" ht="25.5" customHeight="1">
      <c r="A1" s="309" t="s">
        <v>70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80"/>
      <c r="O1" s="80"/>
      <c r="P1" s="80"/>
      <c r="Q1" s="8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24" customHeight="1">
      <c r="A2" s="311" t="s">
        <v>55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ht="21.75" customHeight="1">
      <c r="A3" s="2"/>
      <c r="B3" s="307" t="s">
        <v>16</v>
      </c>
      <c r="C3" s="307"/>
      <c r="D3" s="314">
        <f>M49</f>
        <v>9989.06570390132</v>
      </c>
      <c r="E3" s="314"/>
      <c r="F3" s="58" t="s">
        <v>23</v>
      </c>
      <c r="G3" s="315" t="s">
        <v>18</v>
      </c>
      <c r="H3" s="315"/>
      <c r="I3" s="315"/>
      <c r="J3" s="3"/>
      <c r="K3" s="3"/>
      <c r="L3" s="3"/>
      <c r="M3" s="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20.25" customHeight="1">
      <c r="A4" s="2"/>
      <c r="B4" s="307" t="s">
        <v>19</v>
      </c>
      <c r="C4" s="307"/>
      <c r="D4" s="313">
        <f>M48</f>
        <v>1523.7557853408794</v>
      </c>
      <c r="E4" s="313"/>
      <c r="F4" s="58" t="s">
        <v>23</v>
      </c>
      <c r="G4" s="58"/>
      <c r="H4" s="59"/>
      <c r="I4" s="10"/>
      <c r="J4" s="3"/>
      <c r="K4" s="3"/>
      <c r="L4" s="3"/>
      <c r="M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ht="22.5" customHeight="1">
      <c r="A5" s="310" t="s">
        <v>65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24" customHeight="1">
      <c r="A6" s="306" t="s">
        <v>0</v>
      </c>
      <c r="B6" s="304" t="s">
        <v>8</v>
      </c>
      <c r="C6" s="305" t="s">
        <v>1</v>
      </c>
      <c r="D6" s="304" t="s">
        <v>10</v>
      </c>
      <c r="E6" s="308" t="s">
        <v>2</v>
      </c>
      <c r="F6" s="308"/>
      <c r="G6" s="316" t="s">
        <v>30</v>
      </c>
      <c r="H6" s="317"/>
      <c r="I6" s="317"/>
      <c r="J6" s="317"/>
      <c r="K6" s="317"/>
      <c r="L6" s="317"/>
      <c r="M6" s="31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7.25" customHeight="1">
      <c r="A7" s="306"/>
      <c r="B7" s="304"/>
      <c r="C7" s="305"/>
      <c r="D7" s="304"/>
      <c r="E7" s="304" t="s">
        <v>11</v>
      </c>
      <c r="F7" s="304" t="s">
        <v>9</v>
      </c>
      <c r="G7" s="305" t="s">
        <v>12</v>
      </c>
      <c r="H7" s="305"/>
      <c r="I7" s="305" t="s">
        <v>13</v>
      </c>
      <c r="J7" s="305"/>
      <c r="K7" s="305" t="s">
        <v>14</v>
      </c>
      <c r="L7" s="305"/>
      <c r="M7" s="305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" customHeight="1">
      <c r="A8" s="306"/>
      <c r="B8" s="304"/>
      <c r="C8" s="305"/>
      <c r="D8" s="304"/>
      <c r="E8" s="304"/>
      <c r="F8" s="304"/>
      <c r="G8" s="305"/>
      <c r="H8" s="305"/>
      <c r="I8" s="305"/>
      <c r="J8" s="305"/>
      <c r="K8" s="305"/>
      <c r="L8" s="305"/>
      <c r="M8" s="30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20.25" customHeight="1">
      <c r="A9" s="306"/>
      <c r="B9" s="304"/>
      <c r="C9" s="305"/>
      <c r="D9" s="304"/>
      <c r="E9" s="304"/>
      <c r="F9" s="304"/>
      <c r="G9" s="305" t="s">
        <v>17</v>
      </c>
      <c r="H9" s="305" t="s">
        <v>3</v>
      </c>
      <c r="I9" s="305" t="s">
        <v>17</v>
      </c>
      <c r="J9" s="305" t="s">
        <v>3</v>
      </c>
      <c r="K9" s="305" t="s">
        <v>17</v>
      </c>
      <c r="L9" s="305" t="s">
        <v>3</v>
      </c>
      <c r="M9" s="30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42.75" customHeight="1">
      <c r="A10" s="306"/>
      <c r="B10" s="304"/>
      <c r="C10" s="305"/>
      <c r="D10" s="304"/>
      <c r="E10" s="304"/>
      <c r="F10" s="304"/>
      <c r="G10" s="305"/>
      <c r="H10" s="305"/>
      <c r="I10" s="305"/>
      <c r="J10" s="305"/>
      <c r="K10" s="305"/>
      <c r="L10" s="305"/>
      <c r="M10" s="30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20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71.25" customHeight="1">
      <c r="A12" s="33">
        <v>1</v>
      </c>
      <c r="B12" s="18" t="s">
        <v>34</v>
      </c>
      <c r="C12" s="32" t="s">
        <v>36</v>
      </c>
      <c r="D12" s="30" t="s">
        <v>15</v>
      </c>
      <c r="E12" s="30" t="s">
        <v>4</v>
      </c>
      <c r="F12" s="30">
        <v>11</v>
      </c>
      <c r="G12" s="30"/>
      <c r="H12" s="51"/>
      <c r="I12" s="52"/>
      <c r="J12" s="51"/>
      <c r="K12" s="40"/>
      <c r="L12" s="51"/>
      <c r="M12" s="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27" customHeight="1">
      <c r="A13" s="13"/>
      <c r="B13" s="11" t="s">
        <v>35</v>
      </c>
      <c r="C13" s="27" t="s">
        <v>28</v>
      </c>
      <c r="D13" s="18" t="s">
        <v>27</v>
      </c>
      <c r="E13" s="12">
        <v>0.985</v>
      </c>
      <c r="F13" s="11">
        <f>E13*F12</f>
        <v>10.834999999999999</v>
      </c>
      <c r="G13" s="11">
        <v>4.6</v>
      </c>
      <c r="H13" s="42">
        <f>G13*F13</f>
        <v>49.840999999999994</v>
      </c>
      <c r="I13" s="42" t="s">
        <v>4</v>
      </c>
      <c r="J13" s="88" t="s">
        <v>4</v>
      </c>
      <c r="K13" s="89" t="s">
        <v>4</v>
      </c>
      <c r="L13" s="46" t="s">
        <v>4</v>
      </c>
      <c r="M13" s="42">
        <f>H13</f>
        <v>49.840999999999994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25.5" customHeight="1">
      <c r="A14" s="16"/>
      <c r="B14" s="17"/>
      <c r="C14" s="15" t="s">
        <v>38</v>
      </c>
      <c r="D14" s="17" t="s">
        <v>26</v>
      </c>
      <c r="E14" s="17">
        <v>0.314</v>
      </c>
      <c r="F14" s="25">
        <f>E14*F12</f>
        <v>3.454</v>
      </c>
      <c r="G14" s="17" t="s">
        <v>4</v>
      </c>
      <c r="H14" s="47" t="s">
        <v>4</v>
      </c>
      <c r="I14" s="49" t="s">
        <v>4</v>
      </c>
      <c r="J14" s="49" t="s">
        <v>4</v>
      </c>
      <c r="K14" s="45">
        <v>25.18</v>
      </c>
      <c r="L14" s="47">
        <f>K14*F14</f>
        <v>86.97172</v>
      </c>
      <c r="M14" s="47">
        <f>L14</f>
        <v>86.97172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36.75" customHeight="1">
      <c r="A15" s="33">
        <v>2</v>
      </c>
      <c r="B15" s="73" t="s">
        <v>41</v>
      </c>
      <c r="C15" s="32" t="s">
        <v>40</v>
      </c>
      <c r="D15" s="30" t="s">
        <v>22</v>
      </c>
      <c r="E15" s="30" t="s">
        <v>4</v>
      </c>
      <c r="F15" s="92">
        <v>2.42</v>
      </c>
      <c r="G15" s="72"/>
      <c r="H15" s="51"/>
      <c r="I15" s="39"/>
      <c r="J15" s="53"/>
      <c r="K15" s="53"/>
      <c r="L15" s="53"/>
      <c r="M15" s="4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26.25" customHeight="1">
      <c r="A16" s="13"/>
      <c r="B16" s="13"/>
      <c r="C16" s="27" t="s">
        <v>28</v>
      </c>
      <c r="D16" s="11" t="s">
        <v>27</v>
      </c>
      <c r="E16" s="11">
        <v>4.3</v>
      </c>
      <c r="F16" s="14">
        <f>E16*F15</f>
        <v>10.405999999999999</v>
      </c>
      <c r="G16" s="11">
        <v>4.6</v>
      </c>
      <c r="H16" s="42">
        <f>G16*F16</f>
        <v>47.86759999999999</v>
      </c>
      <c r="I16" s="8" t="s">
        <v>4</v>
      </c>
      <c r="J16" s="8" t="s">
        <v>4</v>
      </c>
      <c r="K16" s="8" t="s">
        <v>4</v>
      </c>
      <c r="L16" s="8" t="s">
        <v>4</v>
      </c>
      <c r="M16" s="6">
        <f>H16</f>
        <v>47.86759999999999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27.75" customHeight="1">
      <c r="A17" s="13"/>
      <c r="B17" s="57"/>
      <c r="C17" s="27" t="s">
        <v>39</v>
      </c>
      <c r="D17" s="11" t="s">
        <v>26</v>
      </c>
      <c r="E17" s="12">
        <v>1.8</v>
      </c>
      <c r="F17" s="24">
        <f>F15*E17</f>
        <v>4.356</v>
      </c>
      <c r="G17" s="11" t="s">
        <v>4</v>
      </c>
      <c r="H17" s="42" t="s">
        <v>4</v>
      </c>
      <c r="I17" s="42" t="s">
        <v>4</v>
      </c>
      <c r="J17" s="46" t="s">
        <v>4</v>
      </c>
      <c r="K17" s="43">
        <v>3.2</v>
      </c>
      <c r="L17" s="42">
        <f>F17*K17</f>
        <v>13.9392</v>
      </c>
      <c r="M17" s="42">
        <f>L17</f>
        <v>13.9392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39" customHeight="1">
      <c r="A18" s="16"/>
      <c r="B18" s="16"/>
      <c r="C18" s="15" t="s">
        <v>69</v>
      </c>
      <c r="D18" s="17" t="s">
        <v>58</v>
      </c>
      <c r="E18" s="22">
        <v>1.02</v>
      </c>
      <c r="F18" s="25">
        <f>F15*E18</f>
        <v>2.4684</v>
      </c>
      <c r="G18" s="17" t="s">
        <v>4</v>
      </c>
      <c r="H18" s="47" t="s">
        <v>4</v>
      </c>
      <c r="I18" s="84">
        <v>123</v>
      </c>
      <c r="J18" s="49">
        <f>F18*I18</f>
        <v>303.6132</v>
      </c>
      <c r="K18" s="17" t="s">
        <v>4</v>
      </c>
      <c r="L18" s="47" t="s">
        <v>4</v>
      </c>
      <c r="M18" s="47">
        <f>J18</f>
        <v>303.6132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54.75" customHeight="1">
      <c r="A19" s="33">
        <v>3</v>
      </c>
      <c r="B19" s="33" t="s">
        <v>25</v>
      </c>
      <c r="C19" s="32" t="s">
        <v>71</v>
      </c>
      <c r="D19" s="30" t="s">
        <v>15</v>
      </c>
      <c r="E19" s="30" t="s">
        <v>4</v>
      </c>
      <c r="F19" s="30">
        <v>11</v>
      </c>
      <c r="G19" s="30"/>
      <c r="H19" s="51"/>
      <c r="I19" s="39"/>
      <c r="J19" s="53"/>
      <c r="K19" s="40"/>
      <c r="L19" s="51"/>
      <c r="M19" s="4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27" customHeight="1">
      <c r="A20" s="13"/>
      <c r="B20" s="13"/>
      <c r="C20" s="27" t="s">
        <v>28</v>
      </c>
      <c r="D20" s="11" t="s">
        <v>27</v>
      </c>
      <c r="E20" s="11">
        <v>4.48</v>
      </c>
      <c r="F20" s="24">
        <f>F19*E20</f>
        <v>49.28</v>
      </c>
      <c r="G20" s="24">
        <v>4.6</v>
      </c>
      <c r="H20" s="42">
        <f>G20*F20</f>
        <v>226.688</v>
      </c>
      <c r="I20" s="6" t="s">
        <v>4</v>
      </c>
      <c r="J20" s="6" t="s">
        <v>4</v>
      </c>
      <c r="K20" s="5" t="s">
        <v>4</v>
      </c>
      <c r="L20" s="6" t="s">
        <v>4</v>
      </c>
      <c r="M20" s="6">
        <f>H20</f>
        <v>226.688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25.5" customHeight="1">
      <c r="A21" s="13"/>
      <c r="B21" s="13"/>
      <c r="C21" s="27" t="s">
        <v>37</v>
      </c>
      <c r="D21" s="11" t="s">
        <v>26</v>
      </c>
      <c r="E21" s="11">
        <v>0.903</v>
      </c>
      <c r="F21" s="24">
        <f>F19*E21</f>
        <v>9.933</v>
      </c>
      <c r="G21" s="24" t="s">
        <v>4</v>
      </c>
      <c r="H21" s="42" t="s">
        <v>4</v>
      </c>
      <c r="I21" s="42" t="s">
        <v>4</v>
      </c>
      <c r="J21" s="42" t="s">
        <v>4</v>
      </c>
      <c r="K21" s="43">
        <v>38</v>
      </c>
      <c r="L21" s="42">
        <f>K21*F21</f>
        <v>377.454</v>
      </c>
      <c r="M21" s="42">
        <f>L21</f>
        <v>377.454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26.25" customHeight="1">
      <c r="A22" s="13"/>
      <c r="B22" s="11" t="s">
        <v>42</v>
      </c>
      <c r="C22" s="27" t="s">
        <v>59</v>
      </c>
      <c r="D22" s="11" t="s">
        <v>31</v>
      </c>
      <c r="E22" s="12">
        <v>10</v>
      </c>
      <c r="F22" s="24">
        <f>F19*E22</f>
        <v>110</v>
      </c>
      <c r="G22" s="24" t="s">
        <v>4</v>
      </c>
      <c r="H22" s="6" t="s">
        <v>4</v>
      </c>
      <c r="I22" s="42">
        <v>23.7</v>
      </c>
      <c r="J22" s="42">
        <f>F22*I22</f>
        <v>2607</v>
      </c>
      <c r="K22" s="43"/>
      <c r="L22" s="42"/>
      <c r="M22" s="42">
        <f>J22</f>
        <v>2607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23.25" customHeight="1">
      <c r="A23" s="13"/>
      <c r="B23" s="11" t="s">
        <v>43</v>
      </c>
      <c r="C23" s="27" t="s">
        <v>60</v>
      </c>
      <c r="D23" s="11" t="s">
        <v>31</v>
      </c>
      <c r="E23" s="11">
        <v>1.6</v>
      </c>
      <c r="F23" s="24">
        <f>F19*E23</f>
        <v>17.6</v>
      </c>
      <c r="G23" s="24" t="s">
        <v>4</v>
      </c>
      <c r="H23" s="6" t="s">
        <v>4</v>
      </c>
      <c r="I23" s="42">
        <v>7.3</v>
      </c>
      <c r="J23" s="42">
        <f>F23*I23</f>
        <v>128.48000000000002</v>
      </c>
      <c r="K23" s="43"/>
      <c r="L23" s="42"/>
      <c r="M23" s="42">
        <f>J23</f>
        <v>128.48000000000002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55.5" customHeight="1">
      <c r="A24" s="33">
        <v>4</v>
      </c>
      <c r="B24" s="29" t="s">
        <v>24</v>
      </c>
      <c r="C24" s="32" t="s">
        <v>45</v>
      </c>
      <c r="D24" s="30" t="s">
        <v>61</v>
      </c>
      <c r="E24" s="30" t="s">
        <v>4</v>
      </c>
      <c r="F24" s="30">
        <v>41</v>
      </c>
      <c r="G24" s="30"/>
      <c r="H24" s="50"/>
      <c r="I24" s="40"/>
      <c r="J24" s="53"/>
      <c r="K24" s="54"/>
      <c r="L24" s="53"/>
      <c r="M24" s="3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25.5" customHeight="1">
      <c r="A25" s="13"/>
      <c r="B25" s="11" t="s">
        <v>46</v>
      </c>
      <c r="C25" s="27" t="s">
        <v>28</v>
      </c>
      <c r="D25" s="11" t="s">
        <v>27</v>
      </c>
      <c r="E25" s="11">
        <v>0.582</v>
      </c>
      <c r="F25" s="14">
        <f>F24*E25</f>
        <v>23.862</v>
      </c>
      <c r="G25" s="11">
        <v>4.6</v>
      </c>
      <c r="H25" s="14">
        <f>G25*F25</f>
        <v>109.76519999999998</v>
      </c>
      <c r="I25" s="43" t="s">
        <v>4</v>
      </c>
      <c r="J25" s="43" t="s">
        <v>4</v>
      </c>
      <c r="K25" s="43" t="s">
        <v>4</v>
      </c>
      <c r="L25" s="43" t="s">
        <v>4</v>
      </c>
      <c r="M25" s="14">
        <f>H25</f>
        <v>109.76519999999998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24" customHeight="1">
      <c r="A26" s="66"/>
      <c r="B26" s="66"/>
      <c r="C26" s="85" t="s">
        <v>47</v>
      </c>
      <c r="D26" s="61" t="s">
        <v>5</v>
      </c>
      <c r="E26" s="74">
        <v>0.3</v>
      </c>
      <c r="F26" s="74">
        <f>F24*E26</f>
        <v>12.299999999999999</v>
      </c>
      <c r="G26" s="86" t="s">
        <v>4</v>
      </c>
      <c r="H26" s="86" t="s">
        <v>4</v>
      </c>
      <c r="I26" s="61">
        <v>6.9</v>
      </c>
      <c r="J26" s="67">
        <f>I26*F26</f>
        <v>84.86999999999999</v>
      </c>
      <c r="K26" s="62" t="s">
        <v>4</v>
      </c>
      <c r="L26" s="62" t="s">
        <v>4</v>
      </c>
      <c r="M26" s="67">
        <f>J26</f>
        <v>84.86999999999999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39" customHeight="1">
      <c r="A27" s="33">
        <v>5</v>
      </c>
      <c r="B27" s="19" t="s">
        <v>44</v>
      </c>
      <c r="C27" s="32" t="s">
        <v>48</v>
      </c>
      <c r="D27" s="72" t="s">
        <v>31</v>
      </c>
      <c r="E27" s="40" t="s">
        <v>4</v>
      </c>
      <c r="F27" s="30">
        <v>358.5</v>
      </c>
      <c r="G27" s="63"/>
      <c r="H27" s="28"/>
      <c r="I27" s="63"/>
      <c r="J27" s="78"/>
      <c r="K27" s="63"/>
      <c r="L27" s="63"/>
      <c r="M27" s="7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21.75" customHeight="1">
      <c r="A28" s="13"/>
      <c r="B28" s="11" t="s">
        <v>49</v>
      </c>
      <c r="C28" s="27" t="s">
        <v>28</v>
      </c>
      <c r="D28" s="11" t="s">
        <v>27</v>
      </c>
      <c r="E28" s="11">
        <v>0.2</v>
      </c>
      <c r="F28" s="14">
        <f>F27*E28</f>
        <v>71.7</v>
      </c>
      <c r="G28" s="11">
        <v>4.6</v>
      </c>
      <c r="H28" s="14">
        <f>G28*F28</f>
        <v>329.82</v>
      </c>
      <c r="I28" s="43" t="s">
        <v>4</v>
      </c>
      <c r="J28" s="43" t="s">
        <v>4</v>
      </c>
      <c r="K28" s="43" t="s">
        <v>4</v>
      </c>
      <c r="L28" s="43" t="s">
        <v>4</v>
      </c>
      <c r="M28" s="14">
        <f>H28</f>
        <v>329.82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24.75" customHeight="1">
      <c r="A29" s="13"/>
      <c r="B29" s="11" t="s">
        <v>62</v>
      </c>
      <c r="C29" s="27" t="s">
        <v>37</v>
      </c>
      <c r="D29" s="11" t="s">
        <v>26</v>
      </c>
      <c r="E29" s="11">
        <v>0.053</v>
      </c>
      <c r="F29" s="24">
        <f>F27*E29</f>
        <v>19.0005</v>
      </c>
      <c r="G29" s="24" t="s">
        <v>4</v>
      </c>
      <c r="H29" s="42" t="s">
        <v>4</v>
      </c>
      <c r="I29" s="42" t="s">
        <v>4</v>
      </c>
      <c r="J29" s="42" t="s">
        <v>4</v>
      </c>
      <c r="K29" s="43">
        <v>13.71</v>
      </c>
      <c r="L29" s="42">
        <f>K29*F29</f>
        <v>260.496855</v>
      </c>
      <c r="M29" s="42">
        <f>L29</f>
        <v>260.496855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35.25" customHeight="1">
      <c r="A30" s="13"/>
      <c r="B30" s="11"/>
      <c r="C30" s="87" t="s">
        <v>64</v>
      </c>
      <c r="D30" s="11" t="s">
        <v>31</v>
      </c>
      <c r="E30" s="43" t="s">
        <v>4</v>
      </c>
      <c r="F30" s="12">
        <v>331</v>
      </c>
      <c r="G30" s="43" t="s">
        <v>4</v>
      </c>
      <c r="H30" s="43" t="s">
        <v>4</v>
      </c>
      <c r="I30" s="11">
        <v>1.9</v>
      </c>
      <c r="J30" s="14">
        <f>F30*I30</f>
        <v>628.9</v>
      </c>
      <c r="K30" s="43" t="s">
        <v>4</v>
      </c>
      <c r="L30" s="43" t="s">
        <v>4</v>
      </c>
      <c r="M30" s="14">
        <f>J30</f>
        <v>628.9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36.75" customHeight="1">
      <c r="A31" s="13"/>
      <c r="B31" s="11"/>
      <c r="C31" s="87" t="s">
        <v>57</v>
      </c>
      <c r="D31" s="11" t="s">
        <v>31</v>
      </c>
      <c r="E31" s="43" t="s">
        <v>4</v>
      </c>
      <c r="F31" s="12">
        <v>27.5</v>
      </c>
      <c r="G31" s="43" t="s">
        <v>4</v>
      </c>
      <c r="H31" s="43" t="s">
        <v>4</v>
      </c>
      <c r="I31" s="11">
        <v>0.59</v>
      </c>
      <c r="J31" s="14">
        <f>F31*I31</f>
        <v>16.224999999999998</v>
      </c>
      <c r="K31" s="43" t="s">
        <v>4</v>
      </c>
      <c r="L31" s="43" t="s">
        <v>4</v>
      </c>
      <c r="M31" s="14">
        <f>J31</f>
        <v>16.224999999999998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28.5" customHeight="1">
      <c r="A32" s="13"/>
      <c r="B32" s="11"/>
      <c r="C32" s="27" t="s">
        <v>50</v>
      </c>
      <c r="D32" s="11" t="s">
        <v>15</v>
      </c>
      <c r="E32" s="43" t="s">
        <v>4</v>
      </c>
      <c r="F32" s="12">
        <v>26</v>
      </c>
      <c r="G32" s="43" t="s">
        <v>4</v>
      </c>
      <c r="H32" s="43" t="s">
        <v>4</v>
      </c>
      <c r="I32" s="11">
        <v>5.8</v>
      </c>
      <c r="J32" s="14">
        <f>F32*I32</f>
        <v>150.79999999999998</v>
      </c>
      <c r="K32" s="43" t="s">
        <v>4</v>
      </c>
      <c r="L32" s="43" t="s">
        <v>4</v>
      </c>
      <c r="M32" s="14">
        <f>J32</f>
        <v>150.79999999999998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27" customHeight="1">
      <c r="A33" s="13"/>
      <c r="B33" s="11"/>
      <c r="C33" s="27" t="s">
        <v>51</v>
      </c>
      <c r="D33" s="11" t="s">
        <v>15</v>
      </c>
      <c r="E33" s="43" t="s">
        <v>4</v>
      </c>
      <c r="F33" s="12">
        <v>11</v>
      </c>
      <c r="G33" s="43" t="s">
        <v>4</v>
      </c>
      <c r="H33" s="43" t="s">
        <v>4</v>
      </c>
      <c r="I33" s="11">
        <v>8.1</v>
      </c>
      <c r="J33" s="14">
        <f>F33*I33</f>
        <v>89.1</v>
      </c>
      <c r="K33" s="43" t="s">
        <v>4</v>
      </c>
      <c r="L33" s="43" t="s">
        <v>4</v>
      </c>
      <c r="M33" s="14">
        <f>J33</f>
        <v>89.1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24" customHeight="1">
      <c r="A34" s="66"/>
      <c r="B34" s="61"/>
      <c r="C34" s="60" t="s">
        <v>52</v>
      </c>
      <c r="D34" s="61" t="s">
        <v>15</v>
      </c>
      <c r="E34" s="62" t="s">
        <v>4</v>
      </c>
      <c r="F34" s="74">
        <v>2</v>
      </c>
      <c r="G34" s="62" t="s">
        <v>4</v>
      </c>
      <c r="H34" s="62" t="s">
        <v>4</v>
      </c>
      <c r="I34" s="61">
        <v>5.8</v>
      </c>
      <c r="J34" s="67">
        <f>F34*I34</f>
        <v>11.6</v>
      </c>
      <c r="K34" s="62" t="s">
        <v>4</v>
      </c>
      <c r="L34" s="62" t="s">
        <v>4</v>
      </c>
      <c r="M34" s="67">
        <f>J34</f>
        <v>11.6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6" ht="70.5" customHeight="1">
      <c r="A35" s="33">
        <v>6</v>
      </c>
      <c r="B35" s="19" t="s">
        <v>53</v>
      </c>
      <c r="C35" s="32" t="s">
        <v>72</v>
      </c>
      <c r="D35" s="72" t="s">
        <v>15</v>
      </c>
      <c r="E35" s="40" t="s">
        <v>4</v>
      </c>
      <c r="F35" s="72">
        <v>11</v>
      </c>
      <c r="G35" s="77"/>
      <c r="H35" s="28"/>
      <c r="I35" s="76"/>
      <c r="J35" s="78"/>
      <c r="K35" s="75"/>
      <c r="L35" s="79"/>
      <c r="M35" s="78"/>
      <c r="N35"/>
      <c r="O35" s="2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ht="21" customHeight="1">
      <c r="A36" s="13"/>
      <c r="B36" s="11" t="s">
        <v>29</v>
      </c>
      <c r="C36" s="23" t="s">
        <v>28</v>
      </c>
      <c r="D36" s="18" t="s">
        <v>27</v>
      </c>
      <c r="E36" s="18">
        <v>2.06</v>
      </c>
      <c r="F36" s="34">
        <f>F35*E36</f>
        <v>22.66</v>
      </c>
      <c r="G36" s="18">
        <v>4.6</v>
      </c>
      <c r="H36" s="34">
        <f>G36*F36</f>
        <v>104.23599999999999</v>
      </c>
      <c r="I36" s="44" t="s">
        <v>4</v>
      </c>
      <c r="J36" s="44" t="s">
        <v>4</v>
      </c>
      <c r="K36" s="44" t="s">
        <v>4</v>
      </c>
      <c r="L36" s="44" t="s">
        <v>4</v>
      </c>
      <c r="M36" s="34">
        <f>H36</f>
        <v>104.23599999999999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ht="22.5" customHeight="1">
      <c r="A37" s="13"/>
      <c r="B37" s="21"/>
      <c r="C37" s="20" t="s">
        <v>37</v>
      </c>
      <c r="D37" s="21" t="s">
        <v>26</v>
      </c>
      <c r="E37" s="21">
        <v>0.62</v>
      </c>
      <c r="F37" s="93">
        <f>E37*F35</f>
        <v>6.82</v>
      </c>
      <c r="G37" s="21"/>
      <c r="H37" s="93"/>
      <c r="I37" s="94"/>
      <c r="J37" s="94"/>
      <c r="K37" s="94">
        <v>13.71</v>
      </c>
      <c r="L37" s="94">
        <f>F37*K37</f>
        <v>93.50220000000002</v>
      </c>
      <c r="M37" s="14">
        <f>L37</f>
        <v>93.50220000000002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27" customHeight="1" thickBot="1">
      <c r="A38" s="90"/>
      <c r="B38" s="35"/>
      <c r="C38" s="36" t="s">
        <v>66</v>
      </c>
      <c r="D38" s="35" t="s">
        <v>15</v>
      </c>
      <c r="E38" s="35"/>
      <c r="F38" s="35">
        <v>11</v>
      </c>
      <c r="G38" s="91" t="s">
        <v>4</v>
      </c>
      <c r="H38" s="91" t="s">
        <v>4</v>
      </c>
      <c r="I38" s="37">
        <v>95</v>
      </c>
      <c r="J38" s="38">
        <f>F38*I38</f>
        <v>1045</v>
      </c>
      <c r="K38" s="95" t="s">
        <v>4</v>
      </c>
      <c r="L38" s="95" t="s">
        <v>4</v>
      </c>
      <c r="M38" s="38">
        <f>J38</f>
        <v>1045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9.5" customHeight="1">
      <c r="A39" s="7"/>
      <c r="B39" s="7"/>
      <c r="C39" s="71" t="s">
        <v>54</v>
      </c>
      <c r="D39" s="45"/>
      <c r="E39" s="45"/>
      <c r="F39" s="45"/>
      <c r="G39" s="70"/>
      <c r="H39" s="70">
        <f>SUM(H13:H38)</f>
        <v>868.2178</v>
      </c>
      <c r="I39" s="70"/>
      <c r="J39" s="70">
        <f>SUM(J12:J38)</f>
        <v>5065.5882</v>
      </c>
      <c r="K39" s="70"/>
      <c r="L39" s="70">
        <f>SUM(L12:L38)</f>
        <v>832.363975</v>
      </c>
      <c r="M39" s="70">
        <f>SUM(M12:M38)</f>
        <v>6766.169975000001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3.25" customHeight="1">
      <c r="A40" s="9"/>
      <c r="B40" s="9"/>
      <c r="C40" s="320" t="s">
        <v>63</v>
      </c>
      <c r="D40" s="322"/>
      <c r="E40" s="322"/>
      <c r="F40" s="322"/>
      <c r="G40" s="321"/>
      <c r="H40" s="65"/>
      <c r="I40" s="65"/>
      <c r="J40" s="65">
        <f>J39*3%</f>
        <v>151.967646</v>
      </c>
      <c r="K40" s="65"/>
      <c r="L40" s="65"/>
      <c r="M40" s="65">
        <f>J40</f>
        <v>151.967646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18.75" customHeight="1">
      <c r="A41" s="9"/>
      <c r="B41" s="9"/>
      <c r="C41" s="54" t="s">
        <v>6</v>
      </c>
      <c r="D41" s="40"/>
      <c r="E41" s="40"/>
      <c r="F41" s="40"/>
      <c r="G41" s="40"/>
      <c r="H41" s="56"/>
      <c r="I41" s="56"/>
      <c r="J41" s="56"/>
      <c r="K41" s="56"/>
      <c r="L41" s="56"/>
      <c r="M41" s="65">
        <f>M39+M40</f>
        <v>6918.137621000001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19.5" customHeight="1">
      <c r="A42" s="9"/>
      <c r="B42" s="9"/>
      <c r="C42" s="320" t="s">
        <v>32</v>
      </c>
      <c r="D42" s="321"/>
      <c r="E42" s="69"/>
      <c r="F42" s="69"/>
      <c r="G42" s="68"/>
      <c r="H42" s="56"/>
      <c r="I42" s="56"/>
      <c r="J42" s="56"/>
      <c r="K42" s="56"/>
      <c r="L42" s="56"/>
      <c r="M42" s="65">
        <f>M41*10%</f>
        <v>691.8137621000001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20.25" customHeight="1">
      <c r="A43" s="9"/>
      <c r="B43" s="9"/>
      <c r="C43" s="54" t="s">
        <v>6</v>
      </c>
      <c r="D43" s="40"/>
      <c r="E43" s="40"/>
      <c r="F43" s="40"/>
      <c r="G43" s="40"/>
      <c r="H43" s="56"/>
      <c r="I43" s="56"/>
      <c r="J43" s="56"/>
      <c r="K43" s="56"/>
      <c r="L43" s="56"/>
      <c r="M43" s="65">
        <f>M41+M42</f>
        <v>7609.9513831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20.25" customHeight="1">
      <c r="A44" s="9"/>
      <c r="B44" s="9"/>
      <c r="C44" s="320" t="s">
        <v>33</v>
      </c>
      <c r="D44" s="321"/>
      <c r="E44" s="69"/>
      <c r="F44" s="69"/>
      <c r="G44" s="69"/>
      <c r="H44" s="56"/>
      <c r="I44" s="56"/>
      <c r="J44" s="56"/>
      <c r="K44" s="56"/>
      <c r="L44" s="56"/>
      <c r="M44" s="65">
        <f>M43*8%</f>
        <v>608.7961106480001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9.5" customHeight="1">
      <c r="A45" s="9"/>
      <c r="B45" s="9"/>
      <c r="C45" s="54" t="s">
        <v>6</v>
      </c>
      <c r="D45" s="40"/>
      <c r="E45" s="40"/>
      <c r="F45" s="40"/>
      <c r="G45" s="40"/>
      <c r="H45" s="56"/>
      <c r="I45" s="56"/>
      <c r="J45" s="56"/>
      <c r="K45" s="56"/>
      <c r="L45" s="56"/>
      <c r="M45" s="65">
        <f>M43+M44</f>
        <v>8218.747493748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6.5">
      <c r="A46" s="9"/>
      <c r="B46" s="9"/>
      <c r="C46" s="320" t="s">
        <v>56</v>
      </c>
      <c r="D46" s="322"/>
      <c r="E46" s="321"/>
      <c r="F46" s="69"/>
      <c r="G46" s="68"/>
      <c r="H46" s="56"/>
      <c r="I46" s="56"/>
      <c r="J46" s="56"/>
      <c r="K46" s="56"/>
      <c r="L46" s="56"/>
      <c r="M46" s="65">
        <f>M45*3%</f>
        <v>246.56242481243999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16.5">
      <c r="A47" s="9"/>
      <c r="B47" s="9"/>
      <c r="C47" s="320" t="s">
        <v>6</v>
      </c>
      <c r="D47" s="321"/>
      <c r="E47" s="40"/>
      <c r="F47" s="40"/>
      <c r="G47" s="40"/>
      <c r="H47" s="56"/>
      <c r="I47" s="56"/>
      <c r="J47" s="56"/>
      <c r="K47" s="56"/>
      <c r="L47" s="56"/>
      <c r="M47" s="65">
        <f>M45+M46</f>
        <v>8465.30991856044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16.5">
      <c r="A48" s="9"/>
      <c r="B48" s="9"/>
      <c r="C48" s="54" t="s">
        <v>20</v>
      </c>
      <c r="D48" s="69"/>
      <c r="E48" s="69"/>
      <c r="F48" s="69"/>
      <c r="G48" s="68"/>
      <c r="H48" s="56"/>
      <c r="I48" s="56"/>
      <c r="J48" s="56"/>
      <c r="K48" s="56"/>
      <c r="L48" s="56"/>
      <c r="M48" s="65">
        <f>M47*18%</f>
        <v>1523.7557853408794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6.5">
      <c r="A49" s="55"/>
      <c r="B49" s="55"/>
      <c r="C49" s="320" t="s">
        <v>21</v>
      </c>
      <c r="D49" s="321"/>
      <c r="E49" s="40"/>
      <c r="F49" s="40"/>
      <c r="G49" s="40"/>
      <c r="H49" s="56"/>
      <c r="I49" s="56"/>
      <c r="J49" s="56"/>
      <c r="K49" s="56"/>
      <c r="L49" s="56"/>
      <c r="M49" s="64">
        <f>M47+M48</f>
        <v>9989.06570390132</v>
      </c>
      <c r="N49"/>
      <c r="O49">
        <f>M49/11</f>
        <v>908.0968821728474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21">
      <c r="A50" s="319"/>
      <c r="B50" s="319"/>
      <c r="C50" s="319"/>
      <c r="D50" s="319"/>
      <c r="E50" s="319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21">
      <c r="A51" s="319" t="s">
        <v>67</v>
      </c>
      <c r="B51" s="319"/>
      <c r="C51" s="319"/>
      <c r="D51" s="319"/>
      <c r="E51" s="31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ht="21">
      <c r="A52" s="83"/>
      <c r="B52" s="319" t="s">
        <v>68</v>
      </c>
      <c r="C52" s="319"/>
      <c r="D52" s="319"/>
      <c r="E52" s="83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ht="21">
      <c r="A53" s="82"/>
      <c r="B53" s="82"/>
      <c r="C53" s="82"/>
      <c r="D53" s="82"/>
      <c r="E53" s="8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4:126" ht="13.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4:126" ht="13.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4:126" ht="13.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4:126" ht="13.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4:126" ht="13.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4:126" ht="13.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4:126" ht="13.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4:126" ht="13.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4:126" ht="13.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4:126" ht="13.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4:126" ht="13.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4:126" ht="13.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4:126" ht="13.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4:126" ht="13.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4:126" ht="13.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4:126" ht="13.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4:126" ht="13.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4:126" ht="13.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4:126" ht="13.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4:126" ht="13.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4:126" ht="13.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4:126" ht="13.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4:126" ht="13.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4:126" ht="13.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4:126" ht="13.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4:126" ht="13.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4:126" ht="13.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4:126" ht="13.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4:126" ht="13.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4:126" ht="13.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4:126" ht="13.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4:126" ht="13.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4:126" ht="13.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4:126" ht="13.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4:126" ht="13.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4:126" ht="13.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4:126" ht="13.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6" ht="13.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4:126" ht="13.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4:126" ht="13.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4:126" ht="13.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4:126" ht="13.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4:126" ht="13.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4:126" ht="13.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4:126" ht="13.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4:126" ht="13.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4:126" ht="13.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4:126" ht="13.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4:126" ht="13.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4:126" ht="13.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4:126" ht="13.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4:126" ht="13.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4:126" ht="13.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4:126" ht="13.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4:126" ht="13.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4:126" ht="13.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4:126" ht="13.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4:126" ht="13.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4:126" ht="13.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4:126" ht="13.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4:126" ht="13.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4:126" ht="13.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4:126" ht="13.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4:126" ht="13.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4:126" ht="13.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4:126" ht="13.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4:126" ht="13.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4:126" ht="13.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4:126" ht="13.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4:126" ht="13.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4:126" ht="13.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4:126" ht="13.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4:126" ht="13.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4:126" ht="13.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4:126" ht="13.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4:126" ht="13.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4:126" ht="13.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4:126" ht="13.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4:126" ht="13.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4:126" ht="13.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</row>
    <row r="269" spans="14:126" ht="13.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4:126" ht="13.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4:126" ht="13.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</row>
    <row r="272" spans="14:126" ht="13.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</row>
    <row r="273" spans="14:126" ht="13.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</row>
    <row r="274" spans="14:126" ht="13.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4:126" ht="13.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4:126" ht="13.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4:125" ht="13.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4:125" ht="13.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4:125" ht="13.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4:125" ht="13.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4:125" ht="13.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4:125" ht="13.5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4:125" ht="13.5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4:125" ht="13.5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4:125" ht="13.5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4:125" ht="13.5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4:125" ht="13.5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4:125" ht="13.5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4:125" ht="13.5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4:125" ht="13.5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4:125" ht="13.5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4:125" ht="13.5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4:125" ht="13.5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4:125" ht="13.5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4:125" ht="13.5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4:125" ht="13.5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4:125" ht="13.5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4:125" ht="13.5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4:125" ht="13.5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4:125" ht="13.5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4:125" ht="13.5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4:125" ht="13.5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4:125" ht="13.5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4:125" ht="13.5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4:125" ht="13.5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4:125" ht="13.5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4:125" ht="13.5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4:125" ht="13.5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4:125" ht="13.5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4:125" ht="13.5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4:125" ht="13.5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4:125" ht="13.5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4:125" ht="13.5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4:125" ht="13.5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4:125" ht="13.5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4:125" ht="13.5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4:125" ht="13.5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4:125" ht="13.5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4:125" ht="13.5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4:125" ht="13.5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4:125" ht="13.5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4:125" ht="13.5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4:125" ht="13.5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4:125" ht="13.5"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4:125" ht="13.5"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4:125" ht="13.5"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4:125" ht="13.5"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4:125" ht="13.5"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4:125" ht="13.5"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4:125" ht="13.5"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4:125" ht="13.5"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4:125" ht="13.5"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</sheetData>
  <sheetProtection/>
  <mergeCells count="35">
    <mergeCell ref="B52:D52"/>
    <mergeCell ref="C49:D49"/>
    <mergeCell ref="A50:E50"/>
    <mergeCell ref="C40:G40"/>
    <mergeCell ref="C44:D44"/>
    <mergeCell ref="C46:E46"/>
    <mergeCell ref="C47:D47"/>
    <mergeCell ref="C42:D42"/>
    <mergeCell ref="A51:E51"/>
    <mergeCell ref="A1:M1"/>
    <mergeCell ref="A5:M5"/>
    <mergeCell ref="J9:J10"/>
    <mergeCell ref="A2:M2"/>
    <mergeCell ref="D4:E4"/>
    <mergeCell ref="B3:C3"/>
    <mergeCell ref="D3:E3"/>
    <mergeCell ref="G3:I3"/>
    <mergeCell ref="G6:M6"/>
    <mergeCell ref="M7:M10"/>
    <mergeCell ref="B4:C4"/>
    <mergeCell ref="C6:C10"/>
    <mergeCell ref="L9:L10"/>
    <mergeCell ref="E6:F6"/>
    <mergeCell ref="D6:D10"/>
    <mergeCell ref="K9:K10"/>
    <mergeCell ref="G9:G10"/>
    <mergeCell ref="H9:H10"/>
    <mergeCell ref="K7:L8"/>
    <mergeCell ref="I9:I10"/>
    <mergeCell ref="F7:F10"/>
    <mergeCell ref="E7:E10"/>
    <mergeCell ref="I7:J8"/>
    <mergeCell ref="A6:A10"/>
    <mergeCell ref="G7:H8"/>
    <mergeCell ref="B6:B10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W57"/>
  <sheetViews>
    <sheetView zoomScalePageLayoutView="0" workbookViewId="0" topLeftCell="A31">
      <selection activeCell="G38" sqref="G38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1.75390625" style="0" customWidth="1"/>
    <col min="5" max="5" width="7.125" style="0" customWidth="1"/>
    <col min="6" max="6" width="6.75390625" style="0" customWidth="1"/>
    <col min="7" max="7" width="8.875" style="0" customWidth="1"/>
    <col min="8" max="8" width="7.375" style="0" customWidth="1"/>
    <col min="9" max="9" width="8.125" style="0" customWidth="1"/>
    <col min="10" max="10" width="7.625" style="0" customWidth="1"/>
    <col min="11" max="11" width="9.125" style="0" customWidth="1"/>
    <col min="12" max="12" width="7.625" style="0" customWidth="1"/>
    <col min="13" max="13" width="9.625" style="0" customWidth="1"/>
    <col min="14" max="14" width="10.875" style="0" customWidth="1"/>
    <col min="15" max="15" width="0.6171875" style="0" customWidth="1"/>
    <col min="18" max="18" width="10.75390625" style="0" customWidth="1"/>
  </cols>
  <sheetData>
    <row r="1" spans="1:125" s="1" customFormat="1" ht="25.5" customHeight="1">
      <c r="A1" s="327" t="s">
        <v>135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80"/>
      <c r="P1" s="80"/>
      <c r="Q1" s="8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2:126" s="98" customFormat="1" ht="24" customHeight="1">
      <c r="B2" s="350" t="s">
        <v>73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97"/>
      <c r="P2" s="97"/>
      <c r="Q2" s="97"/>
      <c r="R2" s="173" t="s">
        <v>133</v>
      </c>
      <c r="S2" s="97">
        <v>180</v>
      </c>
      <c r="T2" s="97">
        <f>S2/30-1</f>
        <v>5</v>
      </c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</row>
    <row r="3" spans="2:126" s="98" customFormat="1" ht="21.75" customHeight="1">
      <c r="B3" s="99"/>
      <c r="C3" s="351" t="s">
        <v>16</v>
      </c>
      <c r="D3" s="351"/>
      <c r="E3" s="352">
        <f>N52</f>
        <v>18707.16264201468</v>
      </c>
      <c r="F3" s="352"/>
      <c r="G3" s="100" t="s">
        <v>23</v>
      </c>
      <c r="H3" s="353" t="s">
        <v>18</v>
      </c>
      <c r="I3" s="353"/>
      <c r="J3" s="353"/>
      <c r="K3" s="101"/>
      <c r="L3" s="101"/>
      <c r="M3" s="101"/>
      <c r="N3" s="101"/>
      <c r="O3" s="97"/>
      <c r="P3" s="97"/>
      <c r="Q3" s="97"/>
      <c r="R3" s="173" t="s">
        <v>134</v>
      </c>
      <c r="S3" s="97">
        <f>170+10</f>
        <v>180</v>
      </c>
      <c r="T3" s="97">
        <f>S3/30-1</f>
        <v>5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</row>
    <row r="4" spans="2:126" s="98" customFormat="1" ht="20.25" customHeight="1">
      <c r="B4" s="99"/>
      <c r="C4" s="351"/>
      <c r="D4" s="351"/>
      <c r="E4" s="354"/>
      <c r="F4" s="354"/>
      <c r="G4" s="100"/>
      <c r="H4" s="100"/>
      <c r="I4" s="102"/>
      <c r="J4" s="103"/>
      <c r="K4" s="101"/>
      <c r="L4" s="101"/>
      <c r="M4" s="101"/>
      <c r="N4" s="101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</row>
    <row r="5" spans="2:126" s="98" customFormat="1" ht="22.5" customHeight="1">
      <c r="B5" s="341" t="s">
        <v>74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</row>
    <row r="6" spans="2:126" s="105" customFormat="1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</row>
    <row r="7" spans="2:126" s="1" customFormat="1" ht="20.25" customHeight="1">
      <c r="B7" s="342" t="s">
        <v>0</v>
      </c>
      <c r="C7" s="340" t="s">
        <v>8</v>
      </c>
      <c r="D7" s="346" t="s">
        <v>1</v>
      </c>
      <c r="E7" s="340" t="s">
        <v>137</v>
      </c>
      <c r="F7" s="348" t="s">
        <v>2</v>
      </c>
      <c r="G7" s="348"/>
      <c r="H7" s="349" t="s">
        <v>30</v>
      </c>
      <c r="I7" s="349"/>
      <c r="J7" s="349"/>
      <c r="K7" s="349"/>
      <c r="L7" s="349"/>
      <c r="M7" s="349"/>
      <c r="N7" s="34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43"/>
      <c r="C8" s="345"/>
      <c r="D8" s="347"/>
      <c r="E8" s="345"/>
      <c r="F8" s="345" t="s">
        <v>11</v>
      </c>
      <c r="G8" s="345" t="s">
        <v>9</v>
      </c>
      <c r="H8" s="338" t="s">
        <v>12</v>
      </c>
      <c r="I8" s="338"/>
      <c r="J8" s="338" t="s">
        <v>13</v>
      </c>
      <c r="K8" s="338"/>
      <c r="L8" s="338" t="s">
        <v>14</v>
      </c>
      <c r="M8" s="338"/>
      <c r="N8" s="338" t="s">
        <v>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43"/>
      <c r="C9" s="345"/>
      <c r="D9" s="347"/>
      <c r="E9" s="345"/>
      <c r="F9" s="345"/>
      <c r="G9" s="345"/>
      <c r="H9" s="339" t="s">
        <v>17</v>
      </c>
      <c r="I9" s="338" t="s">
        <v>3</v>
      </c>
      <c r="J9" s="339" t="s">
        <v>17</v>
      </c>
      <c r="K9" s="338" t="s">
        <v>3</v>
      </c>
      <c r="L9" s="339" t="s">
        <v>17</v>
      </c>
      <c r="M9" s="338" t="s">
        <v>3</v>
      </c>
      <c r="N9" s="33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44"/>
      <c r="C10" s="345"/>
      <c r="D10" s="347"/>
      <c r="E10" s="345"/>
      <c r="F10" s="345"/>
      <c r="G10" s="345"/>
      <c r="H10" s="340"/>
      <c r="I10" s="338"/>
      <c r="J10" s="340"/>
      <c r="K10" s="338"/>
      <c r="L10" s="340"/>
      <c r="M10" s="338"/>
      <c r="N10" s="33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06">
        <v>1</v>
      </c>
      <c r="C11" s="106">
        <v>2</v>
      </c>
      <c r="D11" s="106">
        <v>3</v>
      </c>
      <c r="E11" s="106">
        <v>4</v>
      </c>
      <c r="F11" s="106">
        <v>5</v>
      </c>
      <c r="G11" s="106">
        <v>6</v>
      </c>
      <c r="H11" s="106">
        <v>7</v>
      </c>
      <c r="I11" s="106">
        <v>8</v>
      </c>
      <c r="J11" s="106">
        <v>9</v>
      </c>
      <c r="K11" s="106">
        <v>10</v>
      </c>
      <c r="L11" s="106">
        <v>11</v>
      </c>
      <c r="M11" s="106">
        <v>12</v>
      </c>
      <c r="N11" s="106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3">
        <v>1</v>
      </c>
      <c r="C12" s="107" t="s">
        <v>75</v>
      </c>
      <c r="D12" s="175" t="s">
        <v>76</v>
      </c>
      <c r="E12" s="175" t="s">
        <v>15</v>
      </c>
      <c r="F12" s="175"/>
      <c r="G12" s="175">
        <v>21</v>
      </c>
      <c r="H12" s="109"/>
      <c r="I12" s="110"/>
      <c r="J12" s="110"/>
      <c r="K12" s="110"/>
      <c r="L12" s="110"/>
      <c r="M12" s="110"/>
      <c r="N12" s="11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>
      <c r="B13" s="13"/>
      <c r="C13" s="112"/>
      <c r="D13" s="113" t="s">
        <v>28</v>
      </c>
      <c r="E13" s="112" t="s">
        <v>27</v>
      </c>
      <c r="F13" s="112">
        <v>0.28</v>
      </c>
      <c r="G13" s="112">
        <f>F13*G12</f>
        <v>5.880000000000001</v>
      </c>
      <c r="H13" s="112">
        <v>4.6</v>
      </c>
      <c r="I13" s="114">
        <f>H13*G13</f>
        <v>27.048000000000002</v>
      </c>
      <c r="J13" s="115">
        <v>0</v>
      </c>
      <c r="K13" s="115">
        <f>G13*J13</f>
        <v>0</v>
      </c>
      <c r="L13" s="115">
        <v>0</v>
      </c>
      <c r="M13" s="115">
        <f>L13*G13</f>
        <v>0</v>
      </c>
      <c r="N13" s="114">
        <f>I13</f>
        <v>27.048000000000002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7.25" thickBot="1">
      <c r="B14" s="116"/>
      <c r="C14" s="117" t="s">
        <v>77</v>
      </c>
      <c r="D14" s="118" t="s">
        <v>78</v>
      </c>
      <c r="E14" s="117" t="s">
        <v>26</v>
      </c>
      <c r="F14" s="117">
        <v>0.314</v>
      </c>
      <c r="G14" s="119">
        <f>F14*G12</f>
        <v>6.594</v>
      </c>
      <c r="H14" s="120">
        <v>0</v>
      </c>
      <c r="I14" s="120">
        <f>H14*G14</f>
        <v>0</v>
      </c>
      <c r="J14" s="120">
        <v>0</v>
      </c>
      <c r="K14" s="120">
        <f>G14*J14</f>
        <v>0</v>
      </c>
      <c r="L14" s="121">
        <v>26.95</v>
      </c>
      <c r="M14" s="122">
        <f>L14*G14</f>
        <v>177.7083</v>
      </c>
      <c r="N14" s="122">
        <f>M14</f>
        <v>177.7083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26" s="1" customFormat="1" ht="17.25" thickTop="1">
      <c r="B15" s="123">
        <v>2</v>
      </c>
      <c r="C15" s="328" t="s">
        <v>138</v>
      </c>
      <c r="D15" s="175" t="s">
        <v>40</v>
      </c>
      <c r="E15" s="175" t="s">
        <v>136</v>
      </c>
      <c r="F15" s="175"/>
      <c r="G15" s="180">
        <f>G12*R15</f>
        <v>4.9455</v>
      </c>
      <c r="H15" s="177"/>
      <c r="I15" s="178"/>
      <c r="J15" s="178"/>
      <c r="K15" s="178"/>
      <c r="L15" s="178"/>
      <c r="M15" s="178"/>
      <c r="N15" s="179"/>
      <c r="O15"/>
      <c r="P15"/>
      <c r="R15">
        <f>3.14*0.25*0.25*1.2</f>
        <v>0.2355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2:126" s="1" customFormat="1" ht="16.5">
      <c r="B16" s="11"/>
      <c r="C16" s="329"/>
      <c r="D16" s="113" t="s">
        <v>28</v>
      </c>
      <c r="E16" s="112" t="s">
        <v>27</v>
      </c>
      <c r="F16" s="112">
        <v>4.12</v>
      </c>
      <c r="G16" s="126">
        <f>F16*G15</f>
        <v>20.37546</v>
      </c>
      <c r="H16" s="112">
        <v>4.6</v>
      </c>
      <c r="I16" s="114">
        <f>H16*G16</f>
        <v>93.727116</v>
      </c>
      <c r="J16" s="115">
        <v>0</v>
      </c>
      <c r="K16" s="115">
        <f>G16*J16</f>
        <v>0</v>
      </c>
      <c r="L16" s="115">
        <v>0</v>
      </c>
      <c r="M16" s="115">
        <f>L16*G16</f>
        <v>0</v>
      </c>
      <c r="N16" s="127">
        <f>I16</f>
        <v>93.727116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" s="1" customFormat="1" ht="17.25" thickBot="1">
      <c r="B17" s="129"/>
      <c r="C17" s="117" t="s">
        <v>79</v>
      </c>
      <c r="D17" s="118" t="s">
        <v>80</v>
      </c>
      <c r="E17" s="117" t="s">
        <v>81</v>
      </c>
      <c r="F17" s="117"/>
      <c r="G17" s="119">
        <f>G15</f>
        <v>4.9455</v>
      </c>
      <c r="H17" s="120">
        <v>0</v>
      </c>
      <c r="I17" s="120">
        <f>H17*G17</f>
        <v>0</v>
      </c>
      <c r="J17" s="130">
        <v>97</v>
      </c>
      <c r="K17" s="122">
        <f>G17*J17</f>
        <v>479.7135</v>
      </c>
      <c r="L17" s="120">
        <v>0</v>
      </c>
      <c r="M17" s="120">
        <f>L17*G17</f>
        <v>0</v>
      </c>
      <c r="N17" s="122">
        <f>M17+K17</f>
        <v>479.7135</v>
      </c>
      <c r="O17"/>
      <c r="P17" s="13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8" ht="41.25" customHeight="1" thickTop="1">
      <c r="B18" s="132">
        <v>3</v>
      </c>
      <c r="C18" s="330" t="s">
        <v>82</v>
      </c>
      <c r="D18" s="175" t="s">
        <v>83</v>
      </c>
      <c r="E18" s="133" t="s">
        <v>84</v>
      </c>
      <c r="F18" s="133"/>
      <c r="G18" s="134">
        <f>G12*R18</f>
        <v>3.1214399999999998</v>
      </c>
      <c r="H18" s="109"/>
      <c r="I18" s="110"/>
      <c r="J18" s="110"/>
      <c r="K18" s="110"/>
      <c r="L18" s="110"/>
      <c r="M18" s="110"/>
      <c r="N18" s="111"/>
      <c r="R18">
        <f>(10*14+2*4.32)/1000</f>
        <v>0.14864</v>
      </c>
    </row>
    <row r="19" spans="2:126" s="1" customFormat="1" ht="13.5" customHeight="1">
      <c r="B19" s="135"/>
      <c r="C19" s="331"/>
      <c r="D19" s="113" t="s">
        <v>28</v>
      </c>
      <c r="E19" s="112" t="s">
        <v>85</v>
      </c>
      <c r="F19" s="112">
        <v>65.5</v>
      </c>
      <c r="G19" s="136">
        <f>F19*G18</f>
        <v>204.45432</v>
      </c>
      <c r="H19" s="112">
        <v>4.6</v>
      </c>
      <c r="I19" s="114">
        <f>H19*G19</f>
        <v>940.4898719999999</v>
      </c>
      <c r="J19" s="114">
        <v>0</v>
      </c>
      <c r="K19" s="114">
        <f>G19*J19</f>
        <v>0</v>
      </c>
      <c r="L19" s="115">
        <v>0</v>
      </c>
      <c r="M19" s="115">
        <f>L19*G19</f>
        <v>0</v>
      </c>
      <c r="N19" s="114">
        <f>I19</f>
        <v>940.4898719999999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13.5" customHeight="1">
      <c r="B20" s="135"/>
      <c r="C20" s="332"/>
      <c r="D20" s="137" t="s">
        <v>86</v>
      </c>
      <c r="E20" s="108" t="s">
        <v>23</v>
      </c>
      <c r="F20" s="108">
        <v>4.48</v>
      </c>
      <c r="G20" s="138">
        <f>F20*G18</f>
        <v>13.9840512</v>
      </c>
      <c r="H20" s="115">
        <v>0</v>
      </c>
      <c r="I20" s="115">
        <f>H20*G20</f>
        <v>0</v>
      </c>
      <c r="J20" s="108"/>
      <c r="K20" s="138">
        <f>J20*G20</f>
        <v>0</v>
      </c>
      <c r="L20" s="108">
        <v>3.2</v>
      </c>
      <c r="M20" s="138">
        <f>L20*G20</f>
        <v>44.74896384</v>
      </c>
      <c r="N20" s="138">
        <f>M20+K20+I20</f>
        <v>44.74896384</v>
      </c>
    </row>
    <row r="21" spans="2:18" ht="13.5" customHeight="1">
      <c r="B21" s="135"/>
      <c r="C21" s="112" t="s">
        <v>87</v>
      </c>
      <c r="D21" s="113" t="s">
        <v>88</v>
      </c>
      <c r="E21" s="112" t="s">
        <v>89</v>
      </c>
      <c r="F21" s="112" t="s">
        <v>90</v>
      </c>
      <c r="G21" s="126">
        <f>G12*R21</f>
        <v>210</v>
      </c>
      <c r="H21" s="115">
        <v>0</v>
      </c>
      <c r="I21" s="115">
        <f aca="true" t="shared" si="0" ref="I21:I29">H21*G21</f>
        <v>0</v>
      </c>
      <c r="J21" s="128">
        <v>23.7</v>
      </c>
      <c r="K21" s="128">
        <f aca="true" t="shared" si="1" ref="K21:K29">J21*G21</f>
        <v>4977</v>
      </c>
      <c r="L21" s="115">
        <v>0</v>
      </c>
      <c r="M21" s="115">
        <f aca="true" t="shared" si="2" ref="M21:M29">L21*G21</f>
        <v>0</v>
      </c>
      <c r="N21" s="128">
        <f aca="true" t="shared" si="3" ref="N21:N29">M21+K21+I21</f>
        <v>4977</v>
      </c>
      <c r="R21">
        <v>10</v>
      </c>
    </row>
    <row r="22" spans="2:18" ht="13.5" customHeight="1">
      <c r="B22" s="135"/>
      <c r="C22" s="112" t="s">
        <v>91</v>
      </c>
      <c r="D22" s="113" t="s">
        <v>92</v>
      </c>
      <c r="E22" s="112" t="s">
        <v>89</v>
      </c>
      <c r="F22" s="112" t="s">
        <v>90</v>
      </c>
      <c r="G22" s="126">
        <f>G12*R22</f>
        <v>42</v>
      </c>
      <c r="H22" s="115">
        <v>0</v>
      </c>
      <c r="I22" s="115">
        <f t="shared" si="0"/>
        <v>0</v>
      </c>
      <c r="J22" s="128">
        <v>6.5</v>
      </c>
      <c r="K22" s="128">
        <f t="shared" si="1"/>
        <v>273</v>
      </c>
      <c r="L22" s="115">
        <v>0</v>
      </c>
      <c r="M22" s="115">
        <f t="shared" si="2"/>
        <v>0</v>
      </c>
      <c r="N22" s="128">
        <f t="shared" si="3"/>
        <v>273</v>
      </c>
      <c r="R22">
        <v>2</v>
      </c>
    </row>
    <row r="23" spans="2:18" ht="13.5" customHeight="1">
      <c r="B23" s="135"/>
      <c r="C23" s="112" t="s">
        <v>93</v>
      </c>
      <c r="D23" s="113" t="s">
        <v>94</v>
      </c>
      <c r="E23" s="112" t="s">
        <v>89</v>
      </c>
      <c r="F23" s="112" t="s">
        <v>90</v>
      </c>
      <c r="G23" s="112">
        <f>R23*G12</f>
        <v>4.2</v>
      </c>
      <c r="H23" s="115">
        <v>0</v>
      </c>
      <c r="I23" s="115">
        <f t="shared" si="0"/>
        <v>0</v>
      </c>
      <c r="J23" s="128">
        <v>5.3</v>
      </c>
      <c r="K23" s="128">
        <f t="shared" si="1"/>
        <v>22.26</v>
      </c>
      <c r="L23" s="115">
        <v>0</v>
      </c>
      <c r="M23" s="115">
        <f t="shared" si="2"/>
        <v>0</v>
      </c>
      <c r="N23" s="128">
        <f t="shared" si="3"/>
        <v>22.26</v>
      </c>
      <c r="R23">
        <v>0.2</v>
      </c>
    </row>
    <row r="24" spans="2:126" s="1" customFormat="1" ht="27" customHeight="1">
      <c r="B24" s="135"/>
      <c r="C24" s="112" t="s">
        <v>95</v>
      </c>
      <c r="D24" s="113" t="s">
        <v>96</v>
      </c>
      <c r="E24" s="112" t="s">
        <v>97</v>
      </c>
      <c r="F24" s="112" t="s">
        <v>90</v>
      </c>
      <c r="G24" s="136">
        <f>G12*R24</f>
        <v>0.4095</v>
      </c>
      <c r="H24" s="128"/>
      <c r="I24" s="114">
        <f>G24*H24</f>
        <v>0</v>
      </c>
      <c r="J24" s="139">
        <v>27.1</v>
      </c>
      <c r="K24" s="114">
        <f>G24*J24</f>
        <v>11.09745</v>
      </c>
      <c r="L24" s="140"/>
      <c r="M24" s="114">
        <f>G24*L24</f>
        <v>0</v>
      </c>
      <c r="N24" s="140">
        <f>I24+K24+M24</f>
        <v>11.09745</v>
      </c>
      <c r="O24"/>
      <c r="P24"/>
      <c r="Q24"/>
      <c r="R24" s="141">
        <v>0.0195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1" customFormat="1" ht="27">
      <c r="B25" s="181"/>
      <c r="C25" s="112" t="s">
        <v>98</v>
      </c>
      <c r="D25" s="113" t="s">
        <v>99</v>
      </c>
      <c r="E25" s="112" t="s">
        <v>100</v>
      </c>
      <c r="F25" s="112" t="s">
        <v>90</v>
      </c>
      <c r="G25" s="136">
        <f>G12*R25</f>
        <v>3.5700000000000003</v>
      </c>
      <c r="H25" s="128"/>
      <c r="I25" s="114">
        <f>G25*H25</f>
        <v>0</v>
      </c>
      <c r="J25" s="142">
        <v>0.8</v>
      </c>
      <c r="K25" s="114">
        <f>G25*J25</f>
        <v>2.8560000000000003</v>
      </c>
      <c r="L25" s="140"/>
      <c r="M25" s="114">
        <f>G25*L25</f>
        <v>0</v>
      </c>
      <c r="N25" s="140">
        <f>I25+K25+M25</f>
        <v>2.8560000000000003</v>
      </c>
      <c r="O25"/>
      <c r="P25"/>
      <c r="Q25"/>
      <c r="R25" s="141">
        <v>0.17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4" ht="44.25" customHeight="1">
      <c r="B26" s="181"/>
      <c r="C26" s="112" t="s">
        <v>29</v>
      </c>
      <c r="D26" s="113" t="s">
        <v>101</v>
      </c>
      <c r="E26" s="112" t="s">
        <v>15</v>
      </c>
      <c r="F26" s="112" t="s">
        <v>90</v>
      </c>
      <c r="G26" s="112">
        <f>G12</f>
        <v>21</v>
      </c>
      <c r="H26" s="115">
        <v>0</v>
      </c>
      <c r="I26" s="115">
        <f>H26*G26</f>
        <v>0</v>
      </c>
      <c r="J26" s="128">
        <v>95</v>
      </c>
      <c r="K26" s="128">
        <f>J26*G26</f>
        <v>1995</v>
      </c>
      <c r="L26" s="115">
        <v>0</v>
      </c>
      <c r="M26" s="115">
        <f>L26*G26</f>
        <v>0</v>
      </c>
      <c r="N26" s="128">
        <f>M26+K26+I26</f>
        <v>1995</v>
      </c>
    </row>
    <row r="27" spans="2:14" ht="13.5" customHeight="1">
      <c r="B27" s="143"/>
      <c r="C27" s="108" t="s">
        <v>102</v>
      </c>
      <c r="D27" s="137" t="s">
        <v>78</v>
      </c>
      <c r="E27" s="108" t="s">
        <v>103</v>
      </c>
      <c r="F27" s="124">
        <v>11.7</v>
      </c>
      <c r="G27" s="144">
        <f>F27*G18</f>
        <v>36.520847999999994</v>
      </c>
      <c r="H27" s="138">
        <v>7.95</v>
      </c>
      <c r="I27" s="138">
        <f t="shared" si="0"/>
        <v>290.34074159999994</v>
      </c>
      <c r="J27" s="125"/>
      <c r="K27" s="125">
        <f t="shared" si="1"/>
        <v>0</v>
      </c>
      <c r="L27" s="138">
        <f>26.95-H27</f>
        <v>19</v>
      </c>
      <c r="M27" s="138">
        <f t="shared" si="2"/>
        <v>693.8961119999999</v>
      </c>
      <c r="N27" s="138">
        <f t="shared" si="3"/>
        <v>984.2368535999999</v>
      </c>
    </row>
    <row r="28" spans="2:14" ht="13.5" customHeight="1">
      <c r="B28" s="135"/>
      <c r="C28" s="112" t="s">
        <v>104</v>
      </c>
      <c r="D28" s="137" t="s">
        <v>105</v>
      </c>
      <c r="E28" s="108" t="s">
        <v>106</v>
      </c>
      <c r="F28" s="108">
        <v>2.5</v>
      </c>
      <c r="G28" s="138">
        <f>F28*G18</f>
        <v>7.803599999999999</v>
      </c>
      <c r="H28" s="115">
        <v>0</v>
      </c>
      <c r="I28" s="115">
        <f>H28*G28</f>
        <v>0</v>
      </c>
      <c r="J28" s="108">
        <v>2.4</v>
      </c>
      <c r="K28" s="138">
        <f>J28*G28</f>
        <v>18.72864</v>
      </c>
      <c r="L28" s="115">
        <v>0</v>
      </c>
      <c r="M28" s="115">
        <f>L28*G28</f>
        <v>0</v>
      </c>
      <c r="N28" s="138">
        <f>M28+K28+I28</f>
        <v>18.72864</v>
      </c>
    </row>
    <row r="29" spans="2:14" ht="14.25" customHeight="1" thickBot="1">
      <c r="B29" s="145"/>
      <c r="C29" s="146"/>
      <c r="D29" s="118" t="s">
        <v>107</v>
      </c>
      <c r="E29" s="117" t="s">
        <v>23</v>
      </c>
      <c r="F29" s="117">
        <v>2.2</v>
      </c>
      <c r="G29" s="119">
        <f>F29*G18</f>
        <v>6.867168</v>
      </c>
      <c r="H29" s="120">
        <v>0</v>
      </c>
      <c r="I29" s="120">
        <f t="shared" si="0"/>
        <v>0</v>
      </c>
      <c r="J29" s="117">
        <v>3.2</v>
      </c>
      <c r="K29" s="119">
        <f t="shared" si="1"/>
        <v>21.974937600000004</v>
      </c>
      <c r="L29" s="120">
        <v>0</v>
      </c>
      <c r="M29" s="120">
        <f t="shared" si="2"/>
        <v>0</v>
      </c>
      <c r="N29" s="119">
        <f t="shared" si="3"/>
        <v>21.974937600000004</v>
      </c>
    </row>
    <row r="30" spans="2:126" s="1" customFormat="1" ht="28.5" customHeight="1" thickTop="1">
      <c r="B30" s="123">
        <v>4</v>
      </c>
      <c r="C30" s="333" t="s">
        <v>108</v>
      </c>
      <c r="D30" s="147" t="s">
        <v>45</v>
      </c>
      <c r="E30" s="148" t="s">
        <v>109</v>
      </c>
      <c r="F30" s="148" t="s">
        <v>4</v>
      </c>
      <c r="G30" s="148">
        <f>G12*Q30</f>
        <v>90.3</v>
      </c>
      <c r="H30" s="109"/>
      <c r="I30" s="110"/>
      <c r="J30" s="110"/>
      <c r="K30" s="110"/>
      <c r="L30" s="110"/>
      <c r="M30" s="110"/>
      <c r="N30" s="111"/>
      <c r="O30"/>
      <c r="P30"/>
      <c r="Q30">
        <v>4.3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" s="1" customFormat="1" ht="17.25" customHeight="1">
      <c r="B31" s="11"/>
      <c r="C31" s="334"/>
      <c r="D31" s="113" t="s">
        <v>28</v>
      </c>
      <c r="E31" s="112" t="s">
        <v>27</v>
      </c>
      <c r="F31" s="112">
        <v>0.388</v>
      </c>
      <c r="G31" s="126">
        <f>G30*F31</f>
        <v>35.0364</v>
      </c>
      <c r="H31" s="112">
        <v>3.2</v>
      </c>
      <c r="I31" s="114">
        <f>G31*H31</f>
        <v>112.11648000000001</v>
      </c>
      <c r="J31" s="115">
        <v>0</v>
      </c>
      <c r="K31" s="115">
        <f>G31*J31</f>
        <v>0</v>
      </c>
      <c r="L31" s="115">
        <v>0</v>
      </c>
      <c r="M31" s="115">
        <f>G31*L31</f>
        <v>0</v>
      </c>
      <c r="N31" s="140">
        <f>I31+K31+M31</f>
        <v>112.11648000000001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 thickBot="1">
      <c r="B32" s="129"/>
      <c r="C32" s="149" t="s">
        <v>110</v>
      </c>
      <c r="D32" s="150" t="s">
        <v>111</v>
      </c>
      <c r="E32" s="151" t="s">
        <v>5</v>
      </c>
      <c r="F32" s="152">
        <v>0.25</v>
      </c>
      <c r="G32" s="152">
        <f>G30*F32</f>
        <v>22.575</v>
      </c>
      <c r="H32" s="120">
        <v>0</v>
      </c>
      <c r="I32" s="120">
        <f>G32*H32</f>
        <v>0</v>
      </c>
      <c r="J32" s="153">
        <v>15</v>
      </c>
      <c r="K32" s="122">
        <f>G32*J32</f>
        <v>338.625</v>
      </c>
      <c r="L32" s="120">
        <v>0</v>
      </c>
      <c r="M32" s="120">
        <f>G32*L32</f>
        <v>0</v>
      </c>
      <c r="N32" s="130">
        <f>I32+K32+M32</f>
        <v>338.625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4" ht="27.75" thickTop="1">
      <c r="B33" s="154">
        <v>5</v>
      </c>
      <c r="C33" s="330" t="s">
        <v>112</v>
      </c>
      <c r="D33" s="174" t="s">
        <v>113</v>
      </c>
      <c r="E33" s="133"/>
      <c r="F33" s="133"/>
      <c r="G33" s="155">
        <f>G37+G38</f>
        <v>732.84</v>
      </c>
      <c r="H33" s="156"/>
      <c r="I33" s="157"/>
      <c r="J33" s="157"/>
      <c r="K33" s="157"/>
      <c r="L33" s="157"/>
      <c r="M33" s="157"/>
      <c r="N33" s="158"/>
    </row>
    <row r="34" spans="2:14" ht="15.75">
      <c r="B34" s="154"/>
      <c r="C34" s="332"/>
      <c r="D34" s="113" t="s">
        <v>114</v>
      </c>
      <c r="E34" s="112" t="s">
        <v>115</v>
      </c>
      <c r="F34" s="112">
        <v>0.0193</v>
      </c>
      <c r="G34" s="136">
        <f>F34*G33</f>
        <v>14.143812000000002</v>
      </c>
      <c r="H34" s="112">
        <v>4.6</v>
      </c>
      <c r="I34" s="128">
        <f>H34*G34</f>
        <v>65.06153520000001</v>
      </c>
      <c r="J34" s="115">
        <v>0</v>
      </c>
      <c r="K34" s="115">
        <f>J34*G34</f>
        <v>0</v>
      </c>
      <c r="L34" s="115">
        <v>0</v>
      </c>
      <c r="M34" s="115">
        <f>L34*G34</f>
        <v>0</v>
      </c>
      <c r="N34" s="128">
        <f>M34+K34+I34</f>
        <v>65.06153520000001</v>
      </c>
    </row>
    <row r="35" spans="2:14" ht="15.75" customHeight="1">
      <c r="B35" s="154"/>
      <c r="C35" s="160" t="s">
        <v>116</v>
      </c>
      <c r="D35" s="113" t="s">
        <v>107</v>
      </c>
      <c r="E35" s="112" t="s">
        <v>23</v>
      </c>
      <c r="F35" s="112">
        <v>0.00242</v>
      </c>
      <c r="G35" s="128">
        <f>F35*G33</f>
        <v>1.7734728</v>
      </c>
      <c r="H35" s="115">
        <v>0</v>
      </c>
      <c r="I35" s="115">
        <f aca="true" t="shared" si="4" ref="I35:I41">H35*G35</f>
        <v>0</v>
      </c>
      <c r="J35" s="115">
        <v>0</v>
      </c>
      <c r="K35" s="115">
        <f aca="true" t="shared" si="5" ref="K35:K41">J35*G35</f>
        <v>0</v>
      </c>
      <c r="L35" s="112">
        <v>3.2</v>
      </c>
      <c r="M35" s="128">
        <f aca="true" t="shared" si="6" ref="M35:M41">L35*G35</f>
        <v>5.67511296</v>
      </c>
      <c r="N35" s="128">
        <f aca="true" t="shared" si="7" ref="N35:N41">M35+K35+I35</f>
        <v>5.67511296</v>
      </c>
    </row>
    <row r="36" spans="2:14" ht="15.75" customHeight="1">
      <c r="B36" s="154"/>
      <c r="C36" s="161" t="s">
        <v>117</v>
      </c>
      <c r="D36" s="113" t="s">
        <v>118</v>
      </c>
      <c r="E36" s="112" t="s">
        <v>119</v>
      </c>
      <c r="F36" s="112">
        <f>F34</f>
        <v>0.0193</v>
      </c>
      <c r="G36" s="128">
        <f>F36*G33</f>
        <v>14.143812000000002</v>
      </c>
      <c r="H36" s="128">
        <v>7.51</v>
      </c>
      <c r="I36" s="128">
        <f t="shared" si="4"/>
        <v>106.22002812000001</v>
      </c>
      <c r="J36" s="115">
        <v>0</v>
      </c>
      <c r="K36" s="115">
        <f t="shared" si="5"/>
        <v>0</v>
      </c>
      <c r="L36" s="128">
        <f>25.61-H36</f>
        <v>18.1</v>
      </c>
      <c r="M36" s="128">
        <f t="shared" si="6"/>
        <v>256.00299720000004</v>
      </c>
      <c r="N36" s="128">
        <f t="shared" si="7"/>
        <v>362.22302532000003</v>
      </c>
    </row>
    <row r="37" spans="2:17" ht="15.75" customHeight="1">
      <c r="B37" s="154"/>
      <c r="C37" s="159" t="s">
        <v>120</v>
      </c>
      <c r="D37" s="162" t="s">
        <v>121</v>
      </c>
      <c r="E37" s="112" t="s">
        <v>122</v>
      </c>
      <c r="F37" s="112"/>
      <c r="G37" s="128">
        <f>667*1.02</f>
        <v>680.34</v>
      </c>
      <c r="H37" s="115">
        <v>0</v>
      </c>
      <c r="I37" s="115">
        <f t="shared" si="4"/>
        <v>0</v>
      </c>
      <c r="J37" s="163">
        <v>1.9</v>
      </c>
      <c r="K37" s="128">
        <f t="shared" si="5"/>
        <v>1292.646</v>
      </c>
      <c r="L37" s="115">
        <v>0</v>
      </c>
      <c r="M37" s="115">
        <f t="shared" si="6"/>
        <v>0</v>
      </c>
      <c r="N37" s="128">
        <f t="shared" si="7"/>
        <v>1292.646</v>
      </c>
      <c r="Q37">
        <f>306+180*2</f>
        <v>666</v>
      </c>
    </row>
    <row r="38" spans="2:17" ht="15.75" customHeight="1">
      <c r="B38" s="154"/>
      <c r="C38" s="164" t="s">
        <v>123</v>
      </c>
      <c r="D38" s="162" t="s">
        <v>124</v>
      </c>
      <c r="E38" s="112" t="s">
        <v>122</v>
      </c>
      <c r="F38" s="112"/>
      <c r="G38" s="128">
        <f>G12*Q38</f>
        <v>52.5</v>
      </c>
      <c r="H38" s="115">
        <v>0</v>
      </c>
      <c r="I38" s="115">
        <f t="shared" si="4"/>
        <v>0</v>
      </c>
      <c r="J38" s="165">
        <v>1.01</v>
      </c>
      <c r="K38" s="128">
        <f t="shared" si="5"/>
        <v>53.025</v>
      </c>
      <c r="L38" s="115">
        <v>0</v>
      </c>
      <c r="M38" s="115">
        <f t="shared" si="6"/>
        <v>0</v>
      </c>
      <c r="N38" s="128">
        <f t="shared" si="7"/>
        <v>53.025</v>
      </c>
      <c r="Q38">
        <v>2.5</v>
      </c>
    </row>
    <row r="39" spans="2:17" ht="15.75" customHeight="1">
      <c r="B39" s="154"/>
      <c r="C39" s="159"/>
      <c r="D39" s="113" t="s">
        <v>125</v>
      </c>
      <c r="E39" s="112" t="s">
        <v>15</v>
      </c>
      <c r="F39" s="112"/>
      <c r="G39" s="166">
        <f>Q39*G26</f>
        <v>42</v>
      </c>
      <c r="H39" s="115">
        <v>0</v>
      </c>
      <c r="I39" s="115">
        <f t="shared" si="4"/>
        <v>0</v>
      </c>
      <c r="J39" s="163">
        <v>4.65</v>
      </c>
      <c r="K39" s="128">
        <f t="shared" si="5"/>
        <v>195.3</v>
      </c>
      <c r="L39" s="115">
        <v>0</v>
      </c>
      <c r="M39" s="115">
        <f t="shared" si="6"/>
        <v>0</v>
      </c>
      <c r="N39" s="128">
        <f t="shared" si="7"/>
        <v>195.3</v>
      </c>
      <c r="Q39">
        <v>2</v>
      </c>
    </row>
    <row r="40" spans="2:17" ht="15.75" customHeight="1">
      <c r="B40" s="154"/>
      <c r="C40" s="159"/>
      <c r="D40" s="113" t="s">
        <v>51</v>
      </c>
      <c r="E40" s="112" t="s">
        <v>15</v>
      </c>
      <c r="F40" s="112"/>
      <c r="G40" s="166">
        <f>Q40*G26</f>
        <v>21</v>
      </c>
      <c r="H40" s="115">
        <v>0</v>
      </c>
      <c r="I40" s="115">
        <f t="shared" si="4"/>
        <v>0</v>
      </c>
      <c r="J40" s="163">
        <v>6.35</v>
      </c>
      <c r="K40" s="128">
        <f t="shared" si="5"/>
        <v>133.35</v>
      </c>
      <c r="L40" s="115">
        <v>0</v>
      </c>
      <c r="M40" s="115">
        <f t="shared" si="6"/>
        <v>0</v>
      </c>
      <c r="N40" s="128">
        <f t="shared" si="7"/>
        <v>133.35</v>
      </c>
      <c r="Q40">
        <v>1</v>
      </c>
    </row>
    <row r="41" spans="2:14" ht="15.75" customHeight="1" thickBot="1">
      <c r="B41" s="154"/>
      <c r="C41" s="159"/>
      <c r="D41" s="113" t="s">
        <v>52</v>
      </c>
      <c r="E41" s="112" t="s">
        <v>15</v>
      </c>
      <c r="F41" s="112"/>
      <c r="G41" s="166">
        <v>6</v>
      </c>
      <c r="H41" s="120">
        <v>0</v>
      </c>
      <c r="I41" s="120">
        <f t="shared" si="4"/>
        <v>0</v>
      </c>
      <c r="J41" s="167">
        <v>5.5</v>
      </c>
      <c r="K41" s="119">
        <f t="shared" si="5"/>
        <v>33</v>
      </c>
      <c r="L41" s="120">
        <v>0</v>
      </c>
      <c r="M41" s="120">
        <f t="shared" si="6"/>
        <v>0</v>
      </c>
      <c r="N41" s="119">
        <f t="shared" si="7"/>
        <v>33</v>
      </c>
    </row>
    <row r="42" spans="2:127" s="1" customFormat="1" ht="16.5" thickTop="1">
      <c r="B42" s="335" t="s">
        <v>54</v>
      </c>
      <c r="C42" s="336"/>
      <c r="D42" s="336"/>
      <c r="E42" s="336"/>
      <c r="F42" s="336"/>
      <c r="G42" s="337"/>
      <c r="H42" s="70"/>
      <c r="I42" s="168">
        <f>SUM(I13:I41)</f>
        <v>1635.0037729199998</v>
      </c>
      <c r="J42" s="168"/>
      <c r="K42" s="168">
        <f>SUM(K13:K41)</f>
        <v>9847.5765276</v>
      </c>
      <c r="L42" s="168"/>
      <c r="M42" s="168">
        <f>SUM(M13:M41)</f>
        <v>1178.0314859999999</v>
      </c>
      <c r="N42" s="168">
        <f>SUM(N13:N41)</f>
        <v>12660.61178652</v>
      </c>
      <c r="O42"/>
      <c r="P42"/>
      <c r="Q42" s="176">
        <f>M42+K42+I42</f>
        <v>12660.61178652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2:127" s="1" customFormat="1" ht="15.75">
      <c r="B43" s="324" t="s">
        <v>126</v>
      </c>
      <c r="C43" s="324"/>
      <c r="D43" s="324"/>
      <c r="E43" s="324"/>
      <c r="F43" s="324"/>
      <c r="G43" s="324"/>
      <c r="H43" s="169">
        <v>0.03</v>
      </c>
      <c r="I43" s="168"/>
      <c r="J43" s="168"/>
      <c r="K43" s="168">
        <f>K42*H43</f>
        <v>295.427295828</v>
      </c>
      <c r="L43" s="168"/>
      <c r="M43" s="168"/>
      <c r="N43" s="168">
        <f>K43</f>
        <v>295.427295828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2:127" s="1" customFormat="1" ht="15.75">
      <c r="B44" s="323" t="s">
        <v>6</v>
      </c>
      <c r="C44" s="323"/>
      <c r="D44" s="323"/>
      <c r="E44" s="323"/>
      <c r="F44" s="323"/>
      <c r="G44" s="323"/>
      <c r="H44" s="169"/>
      <c r="I44" s="168"/>
      <c r="J44" s="168"/>
      <c r="K44" s="168"/>
      <c r="L44" s="168"/>
      <c r="M44" s="168"/>
      <c r="N44" s="168">
        <f>SUM(N42:N43)</f>
        <v>12956.039082348</v>
      </c>
      <c r="O44"/>
      <c r="P44" t="s">
        <v>127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2:127" s="1" customFormat="1" ht="15.75">
      <c r="B45" s="324" t="s">
        <v>128</v>
      </c>
      <c r="C45" s="324"/>
      <c r="D45" s="324"/>
      <c r="E45" s="324"/>
      <c r="F45" s="324"/>
      <c r="G45" s="324"/>
      <c r="H45" s="169">
        <v>0.1</v>
      </c>
      <c r="I45" s="168"/>
      <c r="J45" s="168"/>
      <c r="K45" s="168"/>
      <c r="L45" s="168"/>
      <c r="M45" s="168"/>
      <c r="N45" s="168">
        <f>N44*H45</f>
        <v>1295.6039082348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2:127" s="1" customFormat="1" ht="15.75">
      <c r="B46" s="323" t="s">
        <v>6</v>
      </c>
      <c r="C46" s="323"/>
      <c r="D46" s="323"/>
      <c r="E46" s="323"/>
      <c r="F46" s="323"/>
      <c r="G46" s="323"/>
      <c r="I46" s="168"/>
      <c r="J46" s="168"/>
      <c r="K46" s="168"/>
      <c r="L46" s="168"/>
      <c r="M46" s="168"/>
      <c r="N46" s="168">
        <f>SUM(N44:N45)</f>
        <v>14251.642990582799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2:127" s="1" customFormat="1" ht="15.75">
      <c r="B47" s="324" t="s">
        <v>129</v>
      </c>
      <c r="C47" s="324"/>
      <c r="D47" s="324"/>
      <c r="E47" s="324"/>
      <c r="F47" s="324"/>
      <c r="G47" s="324"/>
      <c r="H47" s="169">
        <v>0.08</v>
      </c>
      <c r="I47" s="168"/>
      <c r="J47" s="168"/>
      <c r="K47" s="168"/>
      <c r="L47" s="168"/>
      <c r="M47" s="168"/>
      <c r="N47" s="168">
        <f>N46*H47</f>
        <v>1140.131439246624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2:127" s="1" customFormat="1" ht="15.75">
      <c r="B48" s="323" t="s">
        <v>6</v>
      </c>
      <c r="C48" s="323"/>
      <c r="D48" s="323"/>
      <c r="E48" s="323"/>
      <c r="F48" s="323"/>
      <c r="G48" s="323"/>
      <c r="H48" s="169"/>
      <c r="I48" s="168"/>
      <c r="J48" s="168"/>
      <c r="K48" s="168"/>
      <c r="L48" s="168"/>
      <c r="M48" s="168"/>
      <c r="N48" s="168">
        <f>SUM(N46:N47)</f>
        <v>15391.774429829424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2:127" s="1" customFormat="1" ht="15.75">
      <c r="B49" s="324" t="s">
        <v>130</v>
      </c>
      <c r="C49" s="324"/>
      <c r="D49" s="324"/>
      <c r="E49" s="324"/>
      <c r="F49" s="324"/>
      <c r="G49" s="324"/>
      <c r="H49" s="169">
        <v>0.03</v>
      </c>
      <c r="I49" s="168"/>
      <c r="J49" s="168"/>
      <c r="K49" s="168"/>
      <c r="L49" s="168"/>
      <c r="M49" s="168"/>
      <c r="N49" s="168">
        <f>N48*H49</f>
        <v>461.7532328948827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5.75">
      <c r="B50" s="323" t="s">
        <v>6</v>
      </c>
      <c r="C50" s="323"/>
      <c r="D50" s="323"/>
      <c r="E50" s="323"/>
      <c r="F50" s="323"/>
      <c r="G50" s="323"/>
      <c r="H50" s="169"/>
      <c r="I50" s="168"/>
      <c r="J50" s="168"/>
      <c r="K50" s="168"/>
      <c r="L50" s="168"/>
      <c r="M50" s="168"/>
      <c r="N50" s="168">
        <f>SUM(N48:N49)</f>
        <v>15853.527662724306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5.75">
      <c r="B51" s="324" t="s">
        <v>131</v>
      </c>
      <c r="C51" s="324"/>
      <c r="D51" s="324"/>
      <c r="E51" s="324"/>
      <c r="F51" s="324"/>
      <c r="G51" s="324"/>
      <c r="H51" s="169">
        <v>0.18</v>
      </c>
      <c r="I51" s="168"/>
      <c r="J51" s="168"/>
      <c r="K51" s="168"/>
      <c r="L51" s="168"/>
      <c r="M51" s="168"/>
      <c r="N51" s="168">
        <f>N50*H51</f>
        <v>2853.6349792903748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6.5">
      <c r="B52" s="323" t="s">
        <v>21</v>
      </c>
      <c r="C52" s="323"/>
      <c r="D52" s="323"/>
      <c r="E52" s="323"/>
      <c r="F52" s="323"/>
      <c r="G52" s="323"/>
      <c r="H52" s="170"/>
      <c r="I52" s="168"/>
      <c r="J52" s="168"/>
      <c r="K52" s="168"/>
      <c r="L52" s="168"/>
      <c r="M52" s="168"/>
      <c r="N52" s="182">
        <f>SUM(N50:N51)</f>
        <v>18707.16264201468</v>
      </c>
      <c r="O52"/>
      <c r="P52"/>
      <c r="Q52">
        <f>N52/G26</f>
        <v>890.8172686673656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6:127" s="1" customFormat="1" ht="21">
      <c r="F53" s="171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21">
      <c r="B54" s="326" t="s">
        <v>132</v>
      </c>
      <c r="C54" s="326"/>
      <c r="D54" s="326"/>
      <c r="E54" s="326"/>
      <c r="F54" s="326"/>
      <c r="G54" s="10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21">
      <c r="B55" s="171"/>
      <c r="C55" s="172"/>
      <c r="D55" s="172"/>
      <c r="E55" s="172"/>
      <c r="F55" s="172"/>
      <c r="G55" s="10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6.5">
      <c r="B56" s="105"/>
      <c r="C56" s="325" t="s">
        <v>68</v>
      </c>
      <c r="D56" s="325"/>
      <c r="E56" s="325"/>
      <c r="F56" s="325"/>
      <c r="G56" s="10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6:127" s="1" customFormat="1" ht="13.5">
      <c r="F57" s="105"/>
      <c r="G57" s="10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</sheetData>
  <sheetProtection/>
  <mergeCells count="43"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B48:G48"/>
    <mergeCell ref="B49:G49"/>
    <mergeCell ref="C15:C16"/>
    <mergeCell ref="C18:C20"/>
    <mergeCell ref="C30:C31"/>
    <mergeCell ref="C33:C34"/>
    <mergeCell ref="B42:G42"/>
    <mergeCell ref="B43:G43"/>
    <mergeCell ref="B50:G50"/>
    <mergeCell ref="B51:G51"/>
    <mergeCell ref="B52:G52"/>
    <mergeCell ref="C56:F56"/>
    <mergeCell ref="B54:F54"/>
    <mergeCell ref="A1:N1"/>
    <mergeCell ref="B44:G44"/>
    <mergeCell ref="B45:G45"/>
    <mergeCell ref="B46:G46"/>
    <mergeCell ref="B47:G47"/>
  </mergeCells>
  <printOptions/>
  <pageMargins left="0.7086614173228347" right="0.23" top="0.3" bottom="0.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W65"/>
  <sheetViews>
    <sheetView view="pageLayout" workbookViewId="0" topLeftCell="B1">
      <selection activeCell="B1" sqref="A1:IV16384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2.625" style="97" customWidth="1"/>
    <col min="5" max="5" width="7.375" style="0" customWidth="1"/>
    <col min="6" max="6" width="7.125" style="0" customWidth="1"/>
    <col min="7" max="7" width="8.375" style="0" customWidth="1"/>
    <col min="8" max="8" width="7.625" style="0" customWidth="1"/>
    <col min="9" max="9" width="8.375" style="0" customWidth="1"/>
    <col min="10" max="10" width="7.75390625" style="0" customWidth="1"/>
    <col min="11" max="11" width="9.87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  <col min="19" max="19" width="11.25390625" style="0" customWidth="1"/>
  </cols>
  <sheetData>
    <row r="1" spans="1:125" s="1" customFormat="1" ht="25.5" customHeight="1">
      <c r="A1" s="327" t="s">
        <v>135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80"/>
      <c r="P1" s="80"/>
      <c r="Q1" s="8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2:126" s="98" customFormat="1" ht="18" customHeight="1">
      <c r="B2" s="350" t="s">
        <v>73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</row>
    <row r="3" spans="2:126" s="98" customFormat="1" ht="21.75" customHeight="1">
      <c r="B3" s="99"/>
      <c r="C3" s="351" t="s">
        <v>16</v>
      </c>
      <c r="D3" s="351"/>
      <c r="E3" s="352">
        <f>N59</f>
        <v>18179.88178572649</v>
      </c>
      <c r="F3" s="352"/>
      <c r="G3" s="100" t="s">
        <v>23</v>
      </c>
      <c r="H3" s="353" t="s">
        <v>18</v>
      </c>
      <c r="I3" s="353"/>
      <c r="J3" s="353"/>
      <c r="K3" s="101"/>
      <c r="L3" s="101"/>
      <c r="M3" s="101"/>
      <c r="N3" s="101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</row>
    <row r="4" spans="2:126" s="98" customFormat="1" ht="20.25" customHeight="1">
      <c r="B4" s="99"/>
      <c r="C4" s="351"/>
      <c r="D4" s="351"/>
      <c r="E4" s="354"/>
      <c r="F4" s="354"/>
      <c r="G4" s="100"/>
      <c r="H4" s="100"/>
      <c r="I4" s="184"/>
      <c r="J4" s="103"/>
      <c r="K4" s="101"/>
      <c r="L4" s="101"/>
      <c r="M4" s="101"/>
      <c r="N4" s="101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</row>
    <row r="5" spans="2:126" s="98" customFormat="1" ht="22.5" customHeight="1">
      <c r="B5" s="341" t="s">
        <v>74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</row>
    <row r="6" spans="2:126" s="105" customFormat="1" ht="6" customHeight="1">
      <c r="B6" s="96"/>
      <c r="C6" s="96"/>
      <c r="D6" s="185"/>
      <c r="E6" s="96"/>
      <c r="F6" s="96"/>
      <c r="G6" s="96"/>
      <c r="H6" s="96"/>
      <c r="I6" s="96"/>
      <c r="J6" s="96"/>
      <c r="K6" s="96"/>
      <c r="L6" s="96"/>
      <c r="M6" s="96"/>
      <c r="N6" s="96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</row>
    <row r="7" spans="2:126" s="1" customFormat="1" ht="20.25" customHeight="1">
      <c r="B7" s="342" t="s">
        <v>0</v>
      </c>
      <c r="C7" s="340" t="s">
        <v>8</v>
      </c>
      <c r="D7" s="362" t="s">
        <v>1</v>
      </c>
      <c r="E7" s="340" t="s">
        <v>139</v>
      </c>
      <c r="F7" s="348" t="s">
        <v>2</v>
      </c>
      <c r="G7" s="348"/>
      <c r="H7" s="349" t="s">
        <v>30</v>
      </c>
      <c r="I7" s="349"/>
      <c r="J7" s="349"/>
      <c r="K7" s="349"/>
      <c r="L7" s="349"/>
      <c r="M7" s="349"/>
      <c r="N7" s="34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43"/>
      <c r="C8" s="345"/>
      <c r="D8" s="363"/>
      <c r="E8" s="345"/>
      <c r="F8" s="345" t="s">
        <v>11</v>
      </c>
      <c r="G8" s="345" t="s">
        <v>9</v>
      </c>
      <c r="H8" s="338" t="s">
        <v>12</v>
      </c>
      <c r="I8" s="338"/>
      <c r="J8" s="338" t="s">
        <v>13</v>
      </c>
      <c r="K8" s="338"/>
      <c r="L8" s="338" t="s">
        <v>14</v>
      </c>
      <c r="M8" s="338"/>
      <c r="N8" s="338" t="s">
        <v>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43"/>
      <c r="C9" s="345"/>
      <c r="D9" s="363"/>
      <c r="E9" s="345"/>
      <c r="F9" s="345"/>
      <c r="G9" s="345"/>
      <c r="H9" s="339" t="s">
        <v>17</v>
      </c>
      <c r="I9" s="338" t="s">
        <v>3</v>
      </c>
      <c r="J9" s="339" t="s">
        <v>17</v>
      </c>
      <c r="K9" s="338" t="s">
        <v>3</v>
      </c>
      <c r="L9" s="339" t="s">
        <v>17</v>
      </c>
      <c r="M9" s="338" t="s">
        <v>3</v>
      </c>
      <c r="N9" s="33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44"/>
      <c r="C10" s="345"/>
      <c r="D10" s="363"/>
      <c r="E10" s="345"/>
      <c r="F10" s="345"/>
      <c r="G10" s="345"/>
      <c r="H10" s="340"/>
      <c r="I10" s="338"/>
      <c r="J10" s="340"/>
      <c r="K10" s="338"/>
      <c r="L10" s="340"/>
      <c r="M10" s="338"/>
      <c r="N10" s="33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06">
        <v>1</v>
      </c>
      <c r="C11" s="106">
        <v>2</v>
      </c>
      <c r="D11" s="186">
        <v>3</v>
      </c>
      <c r="E11" s="106">
        <v>4</v>
      </c>
      <c r="F11" s="106">
        <v>5</v>
      </c>
      <c r="G11" s="106">
        <v>6</v>
      </c>
      <c r="H11" s="106">
        <v>7</v>
      </c>
      <c r="I11" s="106">
        <v>8</v>
      </c>
      <c r="J11" s="106">
        <v>9</v>
      </c>
      <c r="K11" s="106">
        <v>10</v>
      </c>
      <c r="L11" s="106">
        <v>11</v>
      </c>
      <c r="M11" s="106">
        <v>12</v>
      </c>
      <c r="N11" s="106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3">
        <v>1</v>
      </c>
      <c r="C12" s="187" t="s">
        <v>140</v>
      </c>
      <c r="D12" s="188" t="s">
        <v>141</v>
      </c>
      <c r="E12" s="175" t="s">
        <v>15</v>
      </c>
      <c r="F12" s="175"/>
      <c r="G12" s="175">
        <f>Q12</f>
        <v>21</v>
      </c>
      <c r="H12" s="109"/>
      <c r="I12" s="110"/>
      <c r="J12" s="110"/>
      <c r="K12" s="110"/>
      <c r="L12" s="110"/>
      <c r="M12" s="110"/>
      <c r="N12" s="111"/>
      <c r="O12"/>
      <c r="P12"/>
      <c r="Q12" s="189">
        <v>21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 customHeight="1">
      <c r="B13" s="13"/>
      <c r="C13" s="112"/>
      <c r="D13" s="190" t="s">
        <v>142</v>
      </c>
      <c r="E13" s="112" t="s">
        <v>27</v>
      </c>
      <c r="F13" s="112">
        <f>4.05*1.15</f>
        <v>4.6575</v>
      </c>
      <c r="G13" s="136">
        <f>F13*G12</f>
        <v>97.80749999999999</v>
      </c>
      <c r="H13" s="112">
        <v>4.6</v>
      </c>
      <c r="I13" s="114">
        <f aca="true" t="shared" si="0" ref="I13:I19">H13*G13</f>
        <v>449.9144999999999</v>
      </c>
      <c r="J13" s="115">
        <v>0</v>
      </c>
      <c r="K13" s="115">
        <f aca="true" t="shared" si="1" ref="K13:K19">G13*J13</f>
        <v>0</v>
      </c>
      <c r="L13" s="115">
        <v>0</v>
      </c>
      <c r="M13" s="115">
        <f aca="true" t="shared" si="2" ref="M13:M19">L13*G13</f>
        <v>0</v>
      </c>
      <c r="N13" s="138">
        <f>M13+K13+I13</f>
        <v>449.9144999999999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6.5" customHeight="1">
      <c r="B14" s="191"/>
      <c r="C14" s="112" t="s">
        <v>77</v>
      </c>
      <c r="D14" s="190" t="s">
        <v>143</v>
      </c>
      <c r="E14" s="112" t="s">
        <v>26</v>
      </c>
      <c r="F14" s="112">
        <f>0.447*1.15</f>
        <v>0.51405</v>
      </c>
      <c r="G14" s="136">
        <f>F14*G12</f>
        <v>10.79505</v>
      </c>
      <c r="H14" s="128">
        <v>7.95</v>
      </c>
      <c r="I14" s="128">
        <f t="shared" si="0"/>
        <v>85.8206475</v>
      </c>
      <c r="J14" s="125">
        <v>0</v>
      </c>
      <c r="K14" s="125">
        <f>J14*G14</f>
        <v>0</v>
      </c>
      <c r="L14" s="138">
        <f>26.95-H14</f>
        <v>19</v>
      </c>
      <c r="M14" s="114">
        <f t="shared" si="2"/>
        <v>205.10595</v>
      </c>
      <c r="N14" s="138">
        <f>M14+K14+I14</f>
        <v>290.9265975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7" ht="16.5" customHeight="1">
      <c r="B15" s="191"/>
      <c r="C15" s="229" t="s">
        <v>164</v>
      </c>
      <c r="D15" s="190" t="s">
        <v>165</v>
      </c>
      <c r="E15" s="112" t="s">
        <v>26</v>
      </c>
      <c r="F15" s="112">
        <v>0.04</v>
      </c>
      <c r="G15" s="128">
        <f>F15*G12</f>
        <v>0.84</v>
      </c>
      <c r="H15" s="128">
        <v>7.14</v>
      </c>
      <c r="I15" s="128">
        <f>H15*G15</f>
        <v>5.997599999999999</v>
      </c>
      <c r="J15" s="125">
        <v>0</v>
      </c>
      <c r="K15" s="125">
        <f>J15*G15</f>
        <v>0</v>
      </c>
      <c r="L15" s="138">
        <f>32.22-H15</f>
        <v>25.08</v>
      </c>
      <c r="M15" s="114">
        <f>L15*G15</f>
        <v>21.067199999999996</v>
      </c>
      <c r="N15" s="128">
        <f>M15+K15+I15</f>
        <v>27.064799999999995</v>
      </c>
      <c r="Q15">
        <f>1/8</f>
        <v>0.125</v>
      </c>
    </row>
    <row r="16" spans="2:14" ht="16.5" customHeight="1" thickBot="1">
      <c r="B16" s="192"/>
      <c r="C16" s="193"/>
      <c r="D16" s="194" t="s">
        <v>107</v>
      </c>
      <c r="E16" s="195" t="s">
        <v>23</v>
      </c>
      <c r="F16" s="195">
        <v>0.214</v>
      </c>
      <c r="G16" s="196">
        <f>F16*G12</f>
        <v>4.494</v>
      </c>
      <c r="H16" s="197">
        <v>0</v>
      </c>
      <c r="I16" s="197">
        <f t="shared" si="0"/>
        <v>0</v>
      </c>
      <c r="J16" s="117">
        <v>3.2</v>
      </c>
      <c r="K16" s="119">
        <f>J16*G16</f>
        <v>14.3808</v>
      </c>
      <c r="L16" s="120">
        <v>0</v>
      </c>
      <c r="M16" s="197">
        <f t="shared" si="2"/>
        <v>0</v>
      </c>
      <c r="N16" s="119">
        <f>M16+K16+I16</f>
        <v>14.3808</v>
      </c>
    </row>
    <row r="17" spans="2:126" s="1" customFormat="1" ht="19.5" customHeight="1" thickTop="1">
      <c r="B17" s="123">
        <v>2</v>
      </c>
      <c r="C17" s="328" t="s">
        <v>144</v>
      </c>
      <c r="D17" s="188" t="s">
        <v>40</v>
      </c>
      <c r="E17" s="175" t="s">
        <v>136</v>
      </c>
      <c r="F17" s="175"/>
      <c r="G17" s="180">
        <f>G12*Q17</f>
        <v>4.12125</v>
      </c>
      <c r="H17" s="177"/>
      <c r="I17" s="178"/>
      <c r="J17" s="178"/>
      <c r="K17" s="178"/>
      <c r="L17" s="178"/>
      <c r="M17" s="178"/>
      <c r="N17" s="179"/>
      <c r="O17"/>
      <c r="P17"/>
      <c r="Q17">
        <f>3.14*0.25*0.25*1</f>
        <v>0.19625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" s="1" customFormat="1" ht="19.5" customHeight="1">
      <c r="B18" s="11"/>
      <c r="C18" s="329"/>
      <c r="D18" s="190" t="s">
        <v>28</v>
      </c>
      <c r="E18" s="112" t="s">
        <v>27</v>
      </c>
      <c r="F18" s="112">
        <v>1.96</v>
      </c>
      <c r="G18" s="136">
        <f>F18*G17</f>
        <v>8.07765</v>
      </c>
      <c r="H18" s="112">
        <v>4.6</v>
      </c>
      <c r="I18" s="114">
        <f t="shared" si="0"/>
        <v>37.15719</v>
      </c>
      <c r="J18" s="115">
        <v>0</v>
      </c>
      <c r="K18" s="115">
        <f t="shared" si="1"/>
        <v>0</v>
      </c>
      <c r="L18" s="115">
        <v>0</v>
      </c>
      <c r="M18" s="115">
        <f t="shared" si="2"/>
        <v>0</v>
      </c>
      <c r="N18" s="138">
        <f>M18+K18+I18</f>
        <v>37.15719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" s="1" customFormat="1" ht="19.5" customHeight="1" thickBot="1">
      <c r="B19" s="129"/>
      <c r="C19" s="117" t="s">
        <v>79</v>
      </c>
      <c r="D19" s="198" t="s">
        <v>80</v>
      </c>
      <c r="E19" s="117" t="s">
        <v>81</v>
      </c>
      <c r="F19" s="117">
        <v>1.015</v>
      </c>
      <c r="G19" s="199">
        <f>F19*G17</f>
        <v>4.1830687499999994</v>
      </c>
      <c r="H19" s="120">
        <v>0</v>
      </c>
      <c r="I19" s="120">
        <f t="shared" si="0"/>
        <v>0</v>
      </c>
      <c r="J19" s="130">
        <v>110</v>
      </c>
      <c r="K19" s="122">
        <f t="shared" si="1"/>
        <v>460.13756249999994</v>
      </c>
      <c r="L19" s="120">
        <v>0</v>
      </c>
      <c r="M19" s="120">
        <f t="shared" si="2"/>
        <v>0</v>
      </c>
      <c r="N19" s="138">
        <f>M19+K19+I19</f>
        <v>460.13756249999994</v>
      </c>
      <c r="O19"/>
      <c r="P19" s="13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27.75" thickTop="1">
      <c r="B20" s="132">
        <v>3</v>
      </c>
      <c r="C20" s="330" t="s">
        <v>25</v>
      </c>
      <c r="D20" s="200" t="s">
        <v>145</v>
      </c>
      <c r="E20" s="133" t="s">
        <v>15</v>
      </c>
      <c r="F20" s="133"/>
      <c r="G20" s="201">
        <f>Q12</f>
        <v>21</v>
      </c>
      <c r="H20" s="109"/>
      <c r="I20" s="110"/>
      <c r="J20" s="110"/>
      <c r="K20" s="110"/>
      <c r="L20" s="110"/>
      <c r="M20" s="110"/>
      <c r="N20" s="111"/>
    </row>
    <row r="21" spans="2:126" s="1" customFormat="1" ht="15.75" customHeight="1">
      <c r="B21" s="135"/>
      <c r="C21" s="331"/>
      <c r="D21" s="190" t="s">
        <v>28</v>
      </c>
      <c r="E21" s="112" t="s">
        <v>85</v>
      </c>
      <c r="F21" s="112">
        <v>1</v>
      </c>
      <c r="G21" s="166">
        <f>F21*G20</f>
        <v>21</v>
      </c>
      <c r="H21" s="126">
        <v>18.2</v>
      </c>
      <c r="I21" s="114">
        <f>H21*G21</f>
        <v>382.2</v>
      </c>
      <c r="J21" s="115">
        <v>0</v>
      </c>
      <c r="K21" s="115">
        <f>G21*J21</f>
        <v>0</v>
      </c>
      <c r="L21" s="115">
        <v>0</v>
      </c>
      <c r="M21" s="115">
        <f>L21*G21</f>
        <v>0</v>
      </c>
      <c r="N21" s="138">
        <f>M21+K21+I21</f>
        <v>382.2</v>
      </c>
      <c r="O21"/>
      <c r="P21"/>
      <c r="Q21">
        <f>N21/G20*0.8</f>
        <v>14.56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2:17" ht="27">
      <c r="B22" s="135"/>
      <c r="C22" s="332"/>
      <c r="D22" s="202" t="s">
        <v>146</v>
      </c>
      <c r="E22" s="183" t="s">
        <v>23</v>
      </c>
      <c r="F22" s="183">
        <v>1</v>
      </c>
      <c r="G22" s="124">
        <f>F22*G20</f>
        <v>21</v>
      </c>
      <c r="H22" s="115">
        <v>0</v>
      </c>
      <c r="I22" s="115">
        <f>H22*G22</f>
        <v>0</v>
      </c>
      <c r="J22" s="115">
        <v>0</v>
      </c>
      <c r="K22" s="115">
        <f>J22*G22</f>
        <v>0</v>
      </c>
      <c r="L22" s="183">
        <v>3.2</v>
      </c>
      <c r="M22" s="138">
        <f>L22*G22</f>
        <v>67.2</v>
      </c>
      <c r="N22" s="138">
        <f>M22+K22+I22</f>
        <v>67.2</v>
      </c>
      <c r="Q22">
        <f>N22/G20</f>
        <v>3.2</v>
      </c>
    </row>
    <row r="23" spans="2:18" ht="19.5" customHeight="1">
      <c r="B23" s="135"/>
      <c r="C23" s="112" t="s">
        <v>87</v>
      </c>
      <c r="D23" s="190" t="s">
        <v>88</v>
      </c>
      <c r="E23" s="112" t="s">
        <v>89</v>
      </c>
      <c r="F23" s="112" t="s">
        <v>90</v>
      </c>
      <c r="G23" s="126">
        <f>G20*R23</f>
        <v>210</v>
      </c>
      <c r="H23" s="115">
        <v>0</v>
      </c>
      <c r="I23" s="115">
        <f>H23*G23</f>
        <v>0</v>
      </c>
      <c r="J23" s="128">
        <v>23.7</v>
      </c>
      <c r="K23" s="128">
        <f>J23*G23</f>
        <v>4977</v>
      </c>
      <c r="L23" s="115">
        <v>0</v>
      </c>
      <c r="M23" s="115">
        <f>L23*G23</f>
        <v>0</v>
      </c>
      <c r="N23" s="128">
        <f>M23+K23+I23</f>
        <v>4977</v>
      </c>
      <c r="Q23">
        <f>SUM(Q20:Q22)</f>
        <v>17.76</v>
      </c>
      <c r="R23" s="203">
        <v>10</v>
      </c>
    </row>
    <row r="24" spans="2:18" ht="19.5" customHeight="1">
      <c r="B24" s="135"/>
      <c r="C24" s="112" t="s">
        <v>91</v>
      </c>
      <c r="D24" s="190" t="s">
        <v>92</v>
      </c>
      <c r="E24" s="112" t="s">
        <v>89</v>
      </c>
      <c r="F24" s="112" t="s">
        <v>90</v>
      </c>
      <c r="G24" s="126">
        <f>G20*R24</f>
        <v>42</v>
      </c>
      <c r="H24" s="115">
        <v>0</v>
      </c>
      <c r="I24" s="115">
        <f>H24*G24</f>
        <v>0</v>
      </c>
      <c r="J24" s="128">
        <v>6.5</v>
      </c>
      <c r="K24" s="128">
        <f>J24*G24</f>
        <v>273</v>
      </c>
      <c r="L24" s="115">
        <v>0</v>
      </c>
      <c r="M24" s="115">
        <f>L24*G24</f>
        <v>0</v>
      </c>
      <c r="N24" s="128">
        <f>M24+K24+I24</f>
        <v>273</v>
      </c>
      <c r="R24" s="203">
        <v>2</v>
      </c>
    </row>
    <row r="25" spans="2:18" ht="19.5" customHeight="1">
      <c r="B25" s="135"/>
      <c r="C25" s="112" t="s">
        <v>93</v>
      </c>
      <c r="D25" s="190" t="s">
        <v>147</v>
      </c>
      <c r="E25" s="112" t="s">
        <v>89</v>
      </c>
      <c r="F25" s="112" t="s">
        <v>90</v>
      </c>
      <c r="G25" s="112">
        <f>G20*R25</f>
        <v>4.2</v>
      </c>
      <c r="H25" s="115">
        <v>0</v>
      </c>
      <c r="I25" s="115">
        <f>H25*G25</f>
        <v>0</v>
      </c>
      <c r="J25" s="128">
        <v>5.3</v>
      </c>
      <c r="K25" s="128">
        <f>J25*G25</f>
        <v>22.26</v>
      </c>
      <c r="L25" s="115">
        <v>0</v>
      </c>
      <c r="M25" s="115">
        <f>L25*G25</f>
        <v>0</v>
      </c>
      <c r="N25" s="128">
        <f>M25+K25+I25</f>
        <v>22.26</v>
      </c>
      <c r="R25" s="204">
        <v>0.2</v>
      </c>
    </row>
    <row r="26" spans="2:126" s="1" customFormat="1" ht="28.5" customHeight="1">
      <c r="B26" s="205"/>
      <c r="C26" s="112" t="s">
        <v>95</v>
      </c>
      <c r="D26" s="190" t="s">
        <v>207</v>
      </c>
      <c r="E26" s="112" t="s">
        <v>97</v>
      </c>
      <c r="F26" s="112" t="s">
        <v>90</v>
      </c>
      <c r="G26" s="136">
        <f>G20*R26</f>
        <v>0.41727</v>
      </c>
      <c r="H26" s="115">
        <v>0</v>
      </c>
      <c r="I26" s="115">
        <f>G26*H26</f>
        <v>0</v>
      </c>
      <c r="J26" s="139">
        <v>27.1</v>
      </c>
      <c r="K26" s="114">
        <f>G26*J26</f>
        <v>11.308017</v>
      </c>
      <c r="L26" s="115">
        <v>0</v>
      </c>
      <c r="M26" s="115">
        <f>G26*L26</f>
        <v>0</v>
      </c>
      <c r="N26" s="114">
        <f>I26+K26+M26</f>
        <v>11.308017</v>
      </c>
      <c r="O26"/>
      <c r="P26"/>
      <c r="Q26"/>
      <c r="R26" s="204">
        <v>0.01987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" s="1" customFormat="1" ht="27">
      <c r="B27" s="230"/>
      <c r="C27" s="112" t="s">
        <v>98</v>
      </c>
      <c r="D27" s="190" t="s">
        <v>99</v>
      </c>
      <c r="E27" s="112" t="s">
        <v>100</v>
      </c>
      <c r="F27" s="112" t="s">
        <v>90</v>
      </c>
      <c r="G27" s="136">
        <f>G20*R27</f>
        <v>3.78</v>
      </c>
      <c r="H27" s="115">
        <v>0</v>
      </c>
      <c r="I27" s="115">
        <f>G27*H27</f>
        <v>0</v>
      </c>
      <c r="J27" s="142">
        <v>0.8</v>
      </c>
      <c r="K27" s="114">
        <f>G27*J27</f>
        <v>3.024</v>
      </c>
      <c r="L27" s="115">
        <v>0</v>
      </c>
      <c r="M27" s="115">
        <f>G27*L27</f>
        <v>0</v>
      </c>
      <c r="N27" s="114">
        <f>I27+K27+M27</f>
        <v>3.024</v>
      </c>
      <c r="O27"/>
      <c r="P27"/>
      <c r="Q27"/>
      <c r="R27" s="204">
        <v>0.18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:16" ht="15.75" customHeight="1">
      <c r="B28" s="181"/>
      <c r="C28" s="112" t="s">
        <v>104</v>
      </c>
      <c r="D28" s="190" t="s">
        <v>105</v>
      </c>
      <c r="E28" s="112" t="s">
        <v>106</v>
      </c>
      <c r="F28" s="112">
        <v>0.37</v>
      </c>
      <c r="G28" s="128">
        <f>F28*G20</f>
        <v>7.77</v>
      </c>
      <c r="H28" s="115">
        <v>0</v>
      </c>
      <c r="I28" s="115">
        <f>H28*G28</f>
        <v>0</v>
      </c>
      <c r="J28" s="112">
        <v>2.4</v>
      </c>
      <c r="K28" s="128">
        <f>J28*G28</f>
        <v>18.648</v>
      </c>
      <c r="L28" s="115">
        <v>0</v>
      </c>
      <c r="M28" s="115">
        <f>L28*G28</f>
        <v>0</v>
      </c>
      <c r="N28" s="128">
        <f>M28+K28+I28</f>
        <v>18.648</v>
      </c>
      <c r="P28">
        <f>N28/7/0.15</f>
        <v>17.76</v>
      </c>
    </row>
    <row r="29" spans="2:16" ht="30" customHeight="1">
      <c r="B29" s="181"/>
      <c r="C29" s="160"/>
      <c r="D29" s="190" t="s">
        <v>148</v>
      </c>
      <c r="E29" s="112" t="s">
        <v>23</v>
      </c>
      <c r="F29" s="112">
        <v>0.25</v>
      </c>
      <c r="G29" s="128">
        <f>F29*G20</f>
        <v>5.25</v>
      </c>
      <c r="H29" s="115">
        <v>0</v>
      </c>
      <c r="I29" s="115">
        <f>H29*G29</f>
        <v>0</v>
      </c>
      <c r="J29" s="112">
        <v>3.2</v>
      </c>
      <c r="K29" s="128">
        <f>J29*G29</f>
        <v>16.8</v>
      </c>
      <c r="L29" s="115">
        <v>0</v>
      </c>
      <c r="M29" s="115">
        <f>L29*G29</f>
        <v>0</v>
      </c>
      <c r="N29" s="128">
        <f>M29+K29+I29</f>
        <v>16.8</v>
      </c>
      <c r="P29" s="131"/>
    </row>
    <row r="30" spans="2:18" ht="17.25" customHeight="1" thickBot="1">
      <c r="B30" s="206"/>
      <c r="C30" s="117" t="s">
        <v>149</v>
      </c>
      <c r="D30" s="194" t="s">
        <v>163</v>
      </c>
      <c r="E30" s="195" t="s">
        <v>103</v>
      </c>
      <c r="F30" s="195" t="s">
        <v>84</v>
      </c>
      <c r="G30" s="207">
        <f>G20*R30</f>
        <v>3.1214399999999998</v>
      </c>
      <c r="H30" s="197">
        <v>0</v>
      </c>
      <c r="I30" s="197">
        <f>H30*G30</f>
        <v>0</v>
      </c>
      <c r="J30" s="120">
        <v>0</v>
      </c>
      <c r="K30" s="120">
        <f>J30*G30</f>
        <v>0</v>
      </c>
      <c r="L30" s="195">
        <v>29.38</v>
      </c>
      <c r="M30" s="196">
        <f>L30*G30</f>
        <v>91.7079072</v>
      </c>
      <c r="N30" s="196">
        <f>M30+K30+I30</f>
        <v>91.7079072</v>
      </c>
      <c r="P30" s="131">
        <f>SUM(N21:N30)</f>
        <v>5863.1479242000005</v>
      </c>
      <c r="R30">
        <f>(10*14+2*4.32)/1000</f>
        <v>0.14864</v>
      </c>
    </row>
    <row r="31" spans="2:126" s="1" customFormat="1" ht="28.5" customHeight="1" thickTop="1">
      <c r="B31" s="123">
        <v>4</v>
      </c>
      <c r="C31" s="333" t="s">
        <v>108</v>
      </c>
      <c r="D31" s="208" t="s">
        <v>45</v>
      </c>
      <c r="E31" s="148" t="s">
        <v>109</v>
      </c>
      <c r="F31" s="148" t="s">
        <v>4</v>
      </c>
      <c r="G31" s="209">
        <f>G12*R31</f>
        <v>98.28</v>
      </c>
      <c r="H31" s="109"/>
      <c r="I31" s="110"/>
      <c r="J31" s="110"/>
      <c r="K31" s="110"/>
      <c r="L31" s="110"/>
      <c r="M31" s="110"/>
      <c r="N31" s="111"/>
      <c r="O31"/>
      <c r="P31"/>
      <c r="R31" s="210">
        <v>4.68</v>
      </c>
      <c r="S31" s="211">
        <f>3.14*0.139*10+3.14*0.05*2+3.14*0.06*0.06</f>
        <v>4.689904000000001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>
      <c r="B32" s="11"/>
      <c r="C32" s="334"/>
      <c r="D32" s="190" t="s">
        <v>28</v>
      </c>
      <c r="E32" s="112" t="s">
        <v>27</v>
      </c>
      <c r="F32" s="112">
        <v>0.388</v>
      </c>
      <c r="G32" s="136">
        <f>G31*F32</f>
        <v>38.13264</v>
      </c>
      <c r="H32" s="112">
        <v>3.2</v>
      </c>
      <c r="I32" s="114">
        <f>G32*H32</f>
        <v>122.024448</v>
      </c>
      <c r="J32" s="115">
        <v>0</v>
      </c>
      <c r="K32" s="115">
        <f>G32*J32</f>
        <v>0</v>
      </c>
      <c r="L32" s="115">
        <v>0</v>
      </c>
      <c r="M32" s="115">
        <f>G32*L32</f>
        <v>0</v>
      </c>
      <c r="N32" s="114">
        <f>I32+K32+M32</f>
        <v>122.024448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26" s="1" customFormat="1" ht="19.5" customHeight="1" thickBot="1">
      <c r="B33" s="129"/>
      <c r="C33" s="149" t="s">
        <v>110</v>
      </c>
      <c r="D33" s="212" t="s">
        <v>150</v>
      </c>
      <c r="E33" s="151" t="s">
        <v>5</v>
      </c>
      <c r="F33" s="152">
        <v>0.25</v>
      </c>
      <c r="G33" s="213">
        <f>G31*F33</f>
        <v>24.57</v>
      </c>
      <c r="H33" s="120">
        <v>0</v>
      </c>
      <c r="I33" s="120">
        <f>G33*H33</f>
        <v>0</v>
      </c>
      <c r="J33" s="153">
        <v>15</v>
      </c>
      <c r="K33" s="122">
        <f>G33*J33</f>
        <v>368.55</v>
      </c>
      <c r="L33" s="120">
        <v>0</v>
      </c>
      <c r="M33" s="120">
        <f>G33*L33</f>
        <v>0</v>
      </c>
      <c r="N33" s="122">
        <f>I33+K33+M33</f>
        <v>368.55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2:14" ht="27.75" thickTop="1">
      <c r="B34" s="154">
        <v>5</v>
      </c>
      <c r="C34" s="361" t="s">
        <v>151</v>
      </c>
      <c r="D34" s="200" t="s">
        <v>152</v>
      </c>
      <c r="E34" s="133" t="s">
        <v>15</v>
      </c>
      <c r="F34" s="133"/>
      <c r="G34" s="201">
        <f>Q12</f>
        <v>21</v>
      </c>
      <c r="H34" s="156"/>
      <c r="I34" s="157"/>
      <c r="J34" s="157"/>
      <c r="K34" s="157"/>
      <c r="L34" s="157"/>
      <c r="M34" s="157"/>
      <c r="N34" s="158"/>
    </row>
    <row r="35" spans="2:20" ht="15.75">
      <c r="B35" s="154"/>
      <c r="C35" s="332"/>
      <c r="D35" s="190" t="s">
        <v>153</v>
      </c>
      <c r="E35" s="112" t="s">
        <v>115</v>
      </c>
      <c r="F35" s="112">
        <v>1.68</v>
      </c>
      <c r="G35" s="136">
        <f>F35*G34</f>
        <v>35.28</v>
      </c>
      <c r="H35" s="112">
        <v>4.6</v>
      </c>
      <c r="I35" s="128">
        <f>H35*G35</f>
        <v>162.28799999999998</v>
      </c>
      <c r="J35" s="115">
        <v>0</v>
      </c>
      <c r="K35" s="115">
        <f>J35*G35</f>
        <v>0</v>
      </c>
      <c r="L35" s="115">
        <v>0</v>
      </c>
      <c r="M35" s="115">
        <f>L35*G35</f>
        <v>0</v>
      </c>
      <c r="N35" s="128">
        <f>M35+K35+I35</f>
        <v>162.28799999999998</v>
      </c>
      <c r="R35">
        <f>34.4/1000</f>
        <v>0.0344</v>
      </c>
      <c r="T35" s="214" t="s">
        <v>154</v>
      </c>
    </row>
    <row r="36" spans="2:20" ht="44.25" customHeight="1">
      <c r="B36" s="143"/>
      <c r="C36" s="112" t="s">
        <v>29</v>
      </c>
      <c r="D36" s="190" t="s">
        <v>155</v>
      </c>
      <c r="E36" s="112" t="s">
        <v>15</v>
      </c>
      <c r="F36" s="112">
        <v>1</v>
      </c>
      <c r="G36" s="166">
        <f>F36*G34</f>
        <v>21</v>
      </c>
      <c r="H36" s="115">
        <v>0</v>
      </c>
      <c r="I36" s="115">
        <f>H36*G36</f>
        <v>0</v>
      </c>
      <c r="J36" s="128">
        <v>95</v>
      </c>
      <c r="K36" s="128">
        <f>J36*G36</f>
        <v>1995</v>
      </c>
      <c r="L36" s="115">
        <v>0</v>
      </c>
      <c r="M36" s="115">
        <f>L36*G36</f>
        <v>0</v>
      </c>
      <c r="N36" s="128">
        <f>M36+K36+I36</f>
        <v>1995</v>
      </c>
      <c r="T36" s="215">
        <f>N43+N37+N14</f>
        <v>1018.13699154</v>
      </c>
    </row>
    <row r="37" spans="2:14" ht="16.5" customHeight="1">
      <c r="B37" s="143"/>
      <c r="C37" s="161" t="s">
        <v>117</v>
      </c>
      <c r="D37" s="190" t="s">
        <v>118</v>
      </c>
      <c r="E37" s="183" t="s">
        <v>103</v>
      </c>
      <c r="F37" s="144">
        <v>0.335</v>
      </c>
      <c r="G37" s="144">
        <f>F37*G34</f>
        <v>7.035</v>
      </c>
      <c r="H37" s="128">
        <v>7.51</v>
      </c>
      <c r="I37" s="128">
        <f>H37*G37</f>
        <v>52.83285</v>
      </c>
      <c r="J37" s="115">
        <v>0</v>
      </c>
      <c r="K37" s="115">
        <f>J37*G37</f>
        <v>0</v>
      </c>
      <c r="L37" s="128">
        <f>25.61-H37</f>
        <v>18.1</v>
      </c>
      <c r="M37" s="128">
        <f>L37*G37</f>
        <v>127.33350000000002</v>
      </c>
      <c r="N37" s="128">
        <f>M37+K37+I37</f>
        <v>180.16635000000002</v>
      </c>
    </row>
    <row r="38" spans="2:14" ht="17.25" customHeight="1" thickBot="1">
      <c r="B38" s="145"/>
      <c r="C38" s="146"/>
      <c r="D38" s="198" t="s">
        <v>107</v>
      </c>
      <c r="E38" s="117" t="s">
        <v>23</v>
      </c>
      <c r="F38" s="117">
        <v>0.16</v>
      </c>
      <c r="G38" s="119">
        <f>F38*G34</f>
        <v>3.36</v>
      </c>
      <c r="H38" s="120">
        <v>0</v>
      </c>
      <c r="I38" s="120">
        <f>H38*G38</f>
        <v>0</v>
      </c>
      <c r="J38" s="117">
        <v>3.2</v>
      </c>
      <c r="K38" s="119">
        <f>J38*G38</f>
        <v>10.752</v>
      </c>
      <c r="L38" s="120">
        <v>0</v>
      </c>
      <c r="M38" s="120">
        <f>L38*G38</f>
        <v>0</v>
      </c>
      <c r="N38" s="119">
        <f>M38+K38+I38</f>
        <v>10.752</v>
      </c>
    </row>
    <row r="39" spans="2:17" ht="27.75" customHeight="1" thickTop="1">
      <c r="B39" s="154">
        <v>5</v>
      </c>
      <c r="C39" s="330" t="s">
        <v>156</v>
      </c>
      <c r="D39" s="200" t="s">
        <v>113</v>
      </c>
      <c r="E39" s="133" t="s">
        <v>122</v>
      </c>
      <c r="F39" s="133"/>
      <c r="G39" s="155">
        <f>G45+G44</f>
        <v>734.0400000000001</v>
      </c>
      <c r="H39" s="156"/>
      <c r="I39" s="157"/>
      <c r="J39" s="157"/>
      <c r="K39" s="157"/>
      <c r="L39" s="157"/>
      <c r="M39" s="157"/>
      <c r="N39" s="158"/>
      <c r="Q39">
        <f>34.6/100</f>
        <v>0.34600000000000003</v>
      </c>
    </row>
    <row r="40" spans="2:19" ht="17.25" customHeight="1">
      <c r="B40" s="154"/>
      <c r="C40" s="331"/>
      <c r="D40" s="190" t="s">
        <v>157</v>
      </c>
      <c r="E40" s="112" t="s">
        <v>115</v>
      </c>
      <c r="F40" s="136">
        <f>(34.4+1.48*20)/1000</f>
        <v>0.064</v>
      </c>
      <c r="G40" s="136">
        <f>F40*G39</f>
        <v>46.97856000000001</v>
      </c>
      <c r="H40" s="112">
        <v>4.6</v>
      </c>
      <c r="I40" s="128">
        <f>H40*G40</f>
        <v>216.10137600000002</v>
      </c>
      <c r="J40" s="115">
        <v>0</v>
      </c>
      <c r="K40" s="115">
        <f>J40*G40</f>
        <v>0</v>
      </c>
      <c r="L40" s="115">
        <v>0</v>
      </c>
      <c r="M40" s="115">
        <f>L40*G40</f>
        <v>0</v>
      </c>
      <c r="N40" s="128">
        <f>M40+K40+I40</f>
        <v>216.10137600000002</v>
      </c>
      <c r="S40">
        <f>N40/G34</f>
        <v>10.290541714285714</v>
      </c>
    </row>
    <row r="41" spans="2:14" ht="17.25" customHeight="1">
      <c r="B41" s="154"/>
      <c r="C41" s="331"/>
      <c r="D41" s="190" t="s">
        <v>107</v>
      </c>
      <c r="E41" s="112" t="s">
        <v>23</v>
      </c>
      <c r="F41" s="136">
        <v>0.006</v>
      </c>
      <c r="G41" s="136">
        <f>F41*G39</f>
        <v>4.404240000000001</v>
      </c>
      <c r="H41" s="115">
        <v>0</v>
      </c>
      <c r="I41" s="115">
        <f aca="true" t="shared" si="3" ref="I41:I47">H41*G41</f>
        <v>0</v>
      </c>
      <c r="J41" s="112">
        <v>3.2</v>
      </c>
      <c r="K41" s="136">
        <f aca="true" t="shared" si="4" ref="K41:K47">J41*G41</f>
        <v>14.093568000000003</v>
      </c>
      <c r="L41" s="115"/>
      <c r="M41" s="115">
        <f aca="true" t="shared" si="5" ref="M41:M47">L41*G41</f>
        <v>0</v>
      </c>
      <c r="N41" s="128">
        <f aca="true" t="shared" si="6" ref="N41:N47">M41+K41+I41</f>
        <v>14.093568000000003</v>
      </c>
    </row>
    <row r="42" spans="2:14" ht="17.25" customHeight="1">
      <c r="B42" s="154"/>
      <c r="C42" s="332"/>
      <c r="D42" s="190" t="s">
        <v>158</v>
      </c>
      <c r="E42" s="112" t="s">
        <v>23</v>
      </c>
      <c r="F42" s="136">
        <f>0.0032+20*0.09/1000</f>
        <v>0.005</v>
      </c>
      <c r="G42" s="136">
        <f>F42*G39</f>
        <v>3.6702000000000004</v>
      </c>
      <c r="H42" s="115">
        <v>0</v>
      </c>
      <c r="I42" s="115">
        <f t="shared" si="3"/>
        <v>0</v>
      </c>
      <c r="J42" s="115">
        <v>0</v>
      </c>
      <c r="K42" s="115">
        <f t="shared" si="4"/>
        <v>0</v>
      </c>
      <c r="L42" s="112">
        <v>3.2</v>
      </c>
      <c r="M42" s="128">
        <f t="shared" si="5"/>
        <v>11.744640000000002</v>
      </c>
      <c r="N42" s="128">
        <f t="shared" si="6"/>
        <v>11.744640000000002</v>
      </c>
    </row>
    <row r="43" spans="2:19" ht="27">
      <c r="B43" s="154"/>
      <c r="C43" s="161" t="s">
        <v>117</v>
      </c>
      <c r="D43" s="190" t="s">
        <v>159</v>
      </c>
      <c r="E43" s="112" t="s">
        <v>119</v>
      </c>
      <c r="F43" s="216">
        <f>(12.7+0.82*20)/1000</f>
        <v>0.029099999999999997</v>
      </c>
      <c r="G43" s="136">
        <f>F43*G39</f>
        <v>21.360564</v>
      </c>
      <c r="H43" s="128">
        <v>7.51</v>
      </c>
      <c r="I43" s="128">
        <f t="shared" si="3"/>
        <v>160.41783564</v>
      </c>
      <c r="J43" s="115">
        <v>0</v>
      </c>
      <c r="K43" s="115">
        <f t="shared" si="4"/>
        <v>0</v>
      </c>
      <c r="L43" s="128">
        <f>25.61-H43</f>
        <v>18.1</v>
      </c>
      <c r="M43" s="128">
        <f t="shared" si="5"/>
        <v>386.62620840000005</v>
      </c>
      <c r="N43" s="128">
        <f t="shared" si="6"/>
        <v>547.04404404</v>
      </c>
      <c r="S43">
        <f>N43/G34</f>
        <v>26.049716382857145</v>
      </c>
    </row>
    <row r="44" spans="2:14" ht="15.75" customHeight="1">
      <c r="B44" s="154"/>
      <c r="C44" s="159" t="s">
        <v>120</v>
      </c>
      <c r="D44" s="217" t="s">
        <v>121</v>
      </c>
      <c r="E44" s="112" t="s">
        <v>122</v>
      </c>
      <c r="F44" s="112" t="s">
        <v>90</v>
      </c>
      <c r="G44" s="128">
        <f>667*1.02+1.2</f>
        <v>681.5400000000001</v>
      </c>
      <c r="H44" s="115">
        <v>0</v>
      </c>
      <c r="I44" s="115">
        <f t="shared" si="3"/>
        <v>0</v>
      </c>
      <c r="J44" s="163">
        <v>1.9</v>
      </c>
      <c r="K44" s="128">
        <f t="shared" si="4"/>
        <v>1294.9260000000002</v>
      </c>
      <c r="L44" s="115">
        <v>0</v>
      </c>
      <c r="M44" s="115">
        <f t="shared" si="5"/>
        <v>0</v>
      </c>
      <c r="N44" s="128">
        <f t="shared" si="6"/>
        <v>1294.9260000000002</v>
      </c>
    </row>
    <row r="45" spans="2:17" ht="16.5" customHeight="1">
      <c r="B45" s="154"/>
      <c r="C45" s="164" t="s">
        <v>123</v>
      </c>
      <c r="D45" s="217" t="s">
        <v>124</v>
      </c>
      <c r="E45" s="112" t="s">
        <v>122</v>
      </c>
      <c r="F45" s="112" t="s">
        <v>90</v>
      </c>
      <c r="G45" s="128">
        <f>G12*Q45</f>
        <v>52.5</v>
      </c>
      <c r="H45" s="115">
        <v>0</v>
      </c>
      <c r="I45" s="115">
        <f t="shared" si="3"/>
        <v>0</v>
      </c>
      <c r="J45" s="165">
        <v>1.01</v>
      </c>
      <c r="K45" s="136">
        <f t="shared" si="4"/>
        <v>53.025</v>
      </c>
      <c r="L45" s="115">
        <v>0</v>
      </c>
      <c r="M45" s="115">
        <f t="shared" si="5"/>
        <v>0</v>
      </c>
      <c r="N45" s="128">
        <f t="shared" si="6"/>
        <v>53.025</v>
      </c>
      <c r="Q45" s="210">
        <v>2.5</v>
      </c>
    </row>
    <row r="46" spans="2:17" ht="16.5" customHeight="1">
      <c r="B46" s="154"/>
      <c r="C46" s="159"/>
      <c r="D46" s="190" t="s">
        <v>125</v>
      </c>
      <c r="E46" s="112" t="s">
        <v>15</v>
      </c>
      <c r="F46" s="112" t="s">
        <v>90</v>
      </c>
      <c r="G46" s="166">
        <f>G12*Q46</f>
        <v>42</v>
      </c>
      <c r="H46" s="115">
        <v>0</v>
      </c>
      <c r="I46" s="115">
        <f t="shared" si="3"/>
        <v>0</v>
      </c>
      <c r="J46" s="163">
        <v>4.65</v>
      </c>
      <c r="K46" s="128">
        <f t="shared" si="4"/>
        <v>195.3</v>
      </c>
      <c r="L46" s="115">
        <v>0</v>
      </c>
      <c r="M46" s="115">
        <f t="shared" si="5"/>
        <v>0</v>
      </c>
      <c r="N46" s="128">
        <f t="shared" si="6"/>
        <v>195.3</v>
      </c>
      <c r="Q46" s="210">
        <v>2</v>
      </c>
    </row>
    <row r="47" spans="2:20" ht="16.5" customHeight="1">
      <c r="B47" s="154"/>
      <c r="C47" s="159"/>
      <c r="D47" s="190" t="s">
        <v>51</v>
      </c>
      <c r="E47" s="112" t="s">
        <v>15</v>
      </c>
      <c r="F47" s="112" t="s">
        <v>90</v>
      </c>
      <c r="G47" s="166">
        <f>G12*Q47</f>
        <v>21</v>
      </c>
      <c r="H47" s="115">
        <v>0</v>
      </c>
      <c r="I47" s="115">
        <f t="shared" si="3"/>
        <v>0</v>
      </c>
      <c r="J47" s="163">
        <v>6.35</v>
      </c>
      <c r="K47" s="128">
        <f t="shared" si="4"/>
        <v>133.35</v>
      </c>
      <c r="L47" s="115">
        <v>0</v>
      </c>
      <c r="M47" s="115">
        <f t="shared" si="5"/>
        <v>0</v>
      </c>
      <c r="N47" s="128">
        <f t="shared" si="6"/>
        <v>133.35</v>
      </c>
      <c r="Q47" s="210">
        <v>1</v>
      </c>
      <c r="S47" s="211"/>
      <c r="T47" s="218" t="s">
        <v>160</v>
      </c>
    </row>
    <row r="48" spans="2:21" ht="16.5" customHeight="1" thickBot="1">
      <c r="B48" s="154"/>
      <c r="C48" s="159"/>
      <c r="D48" s="198" t="s">
        <v>52</v>
      </c>
      <c r="E48" s="117" t="s">
        <v>15</v>
      </c>
      <c r="F48" s="117" t="s">
        <v>90</v>
      </c>
      <c r="G48" s="219">
        <v>6</v>
      </c>
      <c r="H48" s="120">
        <v>0</v>
      </c>
      <c r="I48" s="120">
        <f>H48*G48</f>
        <v>0</v>
      </c>
      <c r="J48" s="167">
        <v>5.5</v>
      </c>
      <c r="K48" s="119">
        <f>J48*G48</f>
        <v>33</v>
      </c>
      <c r="L48" s="120">
        <v>0</v>
      </c>
      <c r="M48" s="120">
        <f>L48*G48</f>
        <v>0</v>
      </c>
      <c r="N48" s="119">
        <f>M48+K48+I48</f>
        <v>33</v>
      </c>
      <c r="S48" s="211" t="s">
        <v>161</v>
      </c>
      <c r="T48" s="220">
        <v>0.458</v>
      </c>
      <c r="U48">
        <f>T48*G39</f>
        <v>336.19032000000004</v>
      </c>
    </row>
    <row r="49" spans="2:127" s="1" customFormat="1" ht="16.5" customHeight="1" thickTop="1">
      <c r="B49" s="357" t="s">
        <v>54</v>
      </c>
      <c r="C49" s="358"/>
      <c r="D49" s="359"/>
      <c r="E49" s="359"/>
      <c r="F49" s="359"/>
      <c r="G49" s="360"/>
      <c r="H49" s="221"/>
      <c r="I49" s="168">
        <f>SUM(I13:I48)</f>
        <v>1674.7544471400001</v>
      </c>
      <c r="J49" s="168"/>
      <c r="K49" s="168">
        <f>SUM(K13:K48)</f>
        <v>9894.5549475</v>
      </c>
      <c r="L49" s="168"/>
      <c r="M49" s="168">
        <f>SUM(M13:M48)</f>
        <v>910.7854056000001</v>
      </c>
      <c r="N49" s="168">
        <f>SUM(N13:N48)</f>
        <v>12480.09480024</v>
      </c>
      <c r="O49"/>
      <c r="P49"/>
      <c r="Q49"/>
      <c r="R49"/>
      <c r="S49" s="211" t="s">
        <v>162</v>
      </c>
      <c r="T49" s="220">
        <v>0.673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6.5" customHeight="1">
      <c r="B50" s="356" t="s">
        <v>126</v>
      </c>
      <c r="C50" s="356"/>
      <c r="D50" s="356"/>
      <c r="E50" s="356"/>
      <c r="F50" s="356"/>
      <c r="G50" s="356"/>
      <c r="H50" s="222">
        <v>0.03</v>
      </c>
      <c r="I50" s="223"/>
      <c r="J50" s="223"/>
      <c r="K50" s="223">
        <f>K49*H50</f>
        <v>296.836648425</v>
      </c>
      <c r="L50" s="223"/>
      <c r="M50" s="223"/>
      <c r="N50" s="223">
        <f>K50</f>
        <v>296.836648425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6.5" customHeight="1">
      <c r="B51" s="355" t="s">
        <v>6</v>
      </c>
      <c r="C51" s="355"/>
      <c r="D51" s="355"/>
      <c r="E51" s="355"/>
      <c r="F51" s="355"/>
      <c r="G51" s="355"/>
      <c r="H51" s="224"/>
      <c r="I51" s="223"/>
      <c r="J51" s="223"/>
      <c r="K51" s="223"/>
      <c r="L51" s="223"/>
      <c r="M51" s="223"/>
      <c r="N51" s="223">
        <f>SUM(N49:N50)</f>
        <v>12776.931448665</v>
      </c>
      <c r="O51"/>
      <c r="P51" t="s">
        <v>127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6.5" customHeight="1">
      <c r="B52" s="356" t="s">
        <v>128</v>
      </c>
      <c r="C52" s="356"/>
      <c r="D52" s="356"/>
      <c r="E52" s="356"/>
      <c r="F52" s="356"/>
      <c r="G52" s="356"/>
      <c r="H52" s="222">
        <v>0.1</v>
      </c>
      <c r="I52" s="223"/>
      <c r="J52" s="223"/>
      <c r="K52" s="223"/>
      <c r="L52" s="223"/>
      <c r="M52" s="223"/>
      <c r="N52" s="223">
        <f>N51*H52</f>
        <v>1277.6931448665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2:127" s="1" customFormat="1" ht="16.5" customHeight="1">
      <c r="B53" s="355" t="s">
        <v>6</v>
      </c>
      <c r="C53" s="355"/>
      <c r="D53" s="355"/>
      <c r="E53" s="355"/>
      <c r="F53" s="355"/>
      <c r="G53" s="355"/>
      <c r="H53" s="225"/>
      <c r="I53" s="223"/>
      <c r="J53" s="223"/>
      <c r="K53" s="223"/>
      <c r="L53" s="223"/>
      <c r="M53" s="223"/>
      <c r="N53" s="223">
        <f>SUM(N51:N52)</f>
        <v>14054.6245935315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16.5" customHeight="1">
      <c r="B54" s="356" t="s">
        <v>129</v>
      </c>
      <c r="C54" s="356"/>
      <c r="D54" s="356"/>
      <c r="E54" s="356"/>
      <c r="F54" s="356"/>
      <c r="G54" s="356"/>
      <c r="H54" s="222">
        <v>0.08</v>
      </c>
      <c r="I54" s="223"/>
      <c r="J54" s="223"/>
      <c r="K54" s="223"/>
      <c r="L54" s="223"/>
      <c r="M54" s="223"/>
      <c r="N54" s="223">
        <f>N53*H54</f>
        <v>1124.36996748252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16.5" customHeight="1">
      <c r="B55" s="355" t="s">
        <v>6</v>
      </c>
      <c r="C55" s="355"/>
      <c r="D55" s="355"/>
      <c r="E55" s="355"/>
      <c r="F55" s="355"/>
      <c r="G55" s="355"/>
      <c r="H55" s="222"/>
      <c r="I55" s="223"/>
      <c r="J55" s="223"/>
      <c r="K55" s="223"/>
      <c r="L55" s="223"/>
      <c r="M55" s="223"/>
      <c r="N55" s="223">
        <f>SUM(N53:N54)</f>
        <v>15178.99456101402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6.5" customHeight="1">
      <c r="B56" s="356" t="s">
        <v>130</v>
      </c>
      <c r="C56" s="356"/>
      <c r="D56" s="356"/>
      <c r="E56" s="356"/>
      <c r="F56" s="356"/>
      <c r="G56" s="356"/>
      <c r="H56" s="222">
        <v>0.015</v>
      </c>
      <c r="I56" s="223"/>
      <c r="J56" s="223"/>
      <c r="K56" s="223"/>
      <c r="L56" s="223"/>
      <c r="M56" s="223"/>
      <c r="N56" s="223">
        <f>N55*H56</f>
        <v>227.6849184152103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2:127" s="1" customFormat="1" ht="16.5" customHeight="1">
      <c r="B57" s="355" t="s">
        <v>6</v>
      </c>
      <c r="C57" s="355"/>
      <c r="D57" s="355"/>
      <c r="E57" s="355"/>
      <c r="F57" s="355"/>
      <c r="G57" s="355"/>
      <c r="H57" s="222"/>
      <c r="I57" s="223"/>
      <c r="J57" s="223"/>
      <c r="K57" s="223"/>
      <c r="L57" s="223"/>
      <c r="M57" s="223"/>
      <c r="N57" s="223">
        <f>SUM(N55:N56)</f>
        <v>15406.679479429231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2:127" s="1" customFormat="1" ht="16.5" customHeight="1">
      <c r="B58" s="356" t="s">
        <v>131</v>
      </c>
      <c r="C58" s="356"/>
      <c r="D58" s="356"/>
      <c r="E58" s="356"/>
      <c r="F58" s="356"/>
      <c r="G58" s="356"/>
      <c r="H58" s="222">
        <v>0.18</v>
      </c>
      <c r="I58" s="223"/>
      <c r="J58" s="223"/>
      <c r="K58" s="223"/>
      <c r="L58" s="223"/>
      <c r="M58" s="223"/>
      <c r="N58" s="223">
        <f>N57*H58</f>
        <v>2773.2023062972617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2:127" s="1" customFormat="1" ht="16.5" customHeight="1">
      <c r="B59" s="355" t="s">
        <v>21</v>
      </c>
      <c r="C59" s="355"/>
      <c r="D59" s="355"/>
      <c r="E59" s="355"/>
      <c r="F59" s="355"/>
      <c r="G59" s="355"/>
      <c r="H59" s="226"/>
      <c r="I59" s="223"/>
      <c r="J59" s="223"/>
      <c r="K59" s="223"/>
      <c r="L59" s="223"/>
      <c r="M59" s="223"/>
      <c r="N59" s="228">
        <f>SUM(N57:N58)</f>
        <v>18179.88178572649</v>
      </c>
      <c r="O59"/>
      <c r="P59"/>
      <c r="Q59" s="131">
        <f>N59/G47</f>
        <v>865.7086564631662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4:127" s="1" customFormat="1" ht="21">
      <c r="D60" s="98"/>
      <c r="F60" s="17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2:127" s="1" customFormat="1" ht="21">
      <c r="B61" s="326" t="s">
        <v>132</v>
      </c>
      <c r="C61" s="326"/>
      <c r="D61" s="326"/>
      <c r="E61" s="326"/>
      <c r="F61" s="326"/>
      <c r="G61" s="10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2:127" s="1" customFormat="1" ht="21">
      <c r="B62" s="171"/>
      <c r="C62" s="172"/>
      <c r="D62" s="172"/>
      <c r="E62" s="172"/>
      <c r="F62" s="172"/>
      <c r="G62" s="105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2:127" s="1" customFormat="1" ht="16.5">
      <c r="B63" s="105"/>
      <c r="C63" s="325" t="s">
        <v>68</v>
      </c>
      <c r="D63" s="325"/>
      <c r="E63" s="325"/>
      <c r="F63" s="325"/>
      <c r="G63" s="10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2:127" s="1" customFormat="1" ht="21">
      <c r="B64" s="105"/>
      <c r="C64" s="171"/>
      <c r="D64" s="227"/>
      <c r="E64" s="171"/>
      <c r="F64" s="105"/>
      <c r="G64" s="10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4:127" s="1" customFormat="1" ht="13.5">
      <c r="D65" s="98"/>
      <c r="F65" s="105"/>
      <c r="G65" s="10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</sheetData>
  <sheetProtection/>
  <mergeCells count="44">
    <mergeCell ref="A1:N1"/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L8:M8"/>
    <mergeCell ref="N8:N10"/>
    <mergeCell ref="H9:H10"/>
    <mergeCell ref="I9:I10"/>
    <mergeCell ref="J9:J10"/>
    <mergeCell ref="K9:K10"/>
    <mergeCell ref="L9:L10"/>
    <mergeCell ref="M9:M10"/>
    <mergeCell ref="C17:C18"/>
    <mergeCell ref="C20:C22"/>
    <mergeCell ref="C31:C32"/>
    <mergeCell ref="C34:C35"/>
    <mergeCell ref="C39:C42"/>
    <mergeCell ref="J8:K8"/>
    <mergeCell ref="B49:G49"/>
    <mergeCell ref="B50:G50"/>
    <mergeCell ref="B51:G51"/>
    <mergeCell ref="B52:G52"/>
    <mergeCell ref="B53:G53"/>
    <mergeCell ref="B54:G54"/>
    <mergeCell ref="C63:F63"/>
    <mergeCell ref="B55:G55"/>
    <mergeCell ref="B56:G56"/>
    <mergeCell ref="B57:G57"/>
    <mergeCell ref="B58:G58"/>
    <mergeCell ref="B59:G59"/>
    <mergeCell ref="B61:F61"/>
  </mergeCells>
  <printOptions/>
  <pageMargins left="0.7086614173228347" right="0.18" top="0.3" bottom="0.32" header="0.3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6"/>
  <sheetViews>
    <sheetView zoomScale="70" zoomScaleNormal="70" zoomScalePageLayoutView="0" workbookViewId="0" topLeftCell="A1">
      <selection activeCell="Q30" sqref="Q30:U36"/>
    </sheetView>
  </sheetViews>
  <sheetFormatPr defaultColWidth="9.00390625" defaultRowHeight="12.75"/>
  <cols>
    <col min="2" max="2" width="13.75390625" style="0" customWidth="1"/>
    <col min="3" max="3" width="10.625" style="0" customWidth="1"/>
    <col min="4" max="4" width="9.25390625" style="0" bestFit="1" customWidth="1"/>
    <col min="5" max="5" width="18.375" style="0" customWidth="1"/>
    <col min="6" max="6" width="13.00390625" style="0" customWidth="1"/>
    <col min="8" max="8" width="9.625" style="0" bestFit="1" customWidth="1"/>
    <col min="9" max="9" width="5.875" style="0" customWidth="1"/>
    <col min="13" max="13" width="10.875" style="0" customWidth="1"/>
    <col min="17" max="17" width="4.25390625" style="0" customWidth="1"/>
    <col min="18" max="18" width="63.00390625" style="0" customWidth="1"/>
    <col min="20" max="20" width="12.00390625" style="0" customWidth="1"/>
    <col min="21" max="21" width="12.625" style="0" customWidth="1"/>
  </cols>
  <sheetData>
    <row r="2" spans="17:20" ht="21" customHeight="1">
      <c r="Q2" s="211"/>
      <c r="R2" s="231" t="s">
        <v>166</v>
      </c>
      <c r="S2" s="232" t="s">
        <v>167</v>
      </c>
      <c r="T2" s="232" t="s">
        <v>2</v>
      </c>
    </row>
    <row r="3" spans="17:20" ht="13.5" thickBot="1">
      <c r="Q3" s="233">
        <v>1</v>
      </c>
      <c r="R3" s="233">
        <v>2</v>
      </c>
      <c r="S3" s="233">
        <v>3</v>
      </c>
      <c r="T3" s="233">
        <v>4</v>
      </c>
    </row>
    <row r="4" spans="17:20" ht="32.25" thickTop="1">
      <c r="Q4" s="234">
        <v>1</v>
      </c>
      <c r="R4" s="235" t="s">
        <v>168</v>
      </c>
      <c r="S4" s="236" t="s">
        <v>15</v>
      </c>
      <c r="T4" s="236">
        <f>H17</f>
        <v>21</v>
      </c>
    </row>
    <row r="5" spans="17:20" ht="16.5" customHeight="1">
      <c r="Q5" s="220">
        <v>2</v>
      </c>
      <c r="R5" s="237" t="s">
        <v>169</v>
      </c>
      <c r="S5" s="236" t="s">
        <v>15</v>
      </c>
      <c r="T5" s="237">
        <f>H17</f>
        <v>21</v>
      </c>
    </row>
    <row r="6" spans="17:20" ht="16.5" customHeight="1">
      <c r="Q6" s="220">
        <v>3</v>
      </c>
      <c r="R6" s="237" t="s">
        <v>170</v>
      </c>
      <c r="S6" s="238" t="s">
        <v>171</v>
      </c>
      <c r="T6" s="262">
        <f>'saboloo-7'!G17</f>
        <v>4.12125</v>
      </c>
    </row>
    <row r="7" spans="17:20" ht="16.5" customHeight="1">
      <c r="Q7" s="367">
        <v>4</v>
      </c>
      <c r="R7" s="237" t="s">
        <v>172</v>
      </c>
      <c r="S7" s="236" t="s">
        <v>89</v>
      </c>
      <c r="T7" s="260">
        <f>H20</f>
        <v>734.0400000000001</v>
      </c>
    </row>
    <row r="8" spans="17:20" ht="16.5" customHeight="1">
      <c r="Q8" s="368"/>
      <c r="R8" s="237" t="s">
        <v>173</v>
      </c>
      <c r="S8" s="236" t="s">
        <v>89</v>
      </c>
      <c r="T8" s="260">
        <f>F18</f>
        <v>681.5400000000001</v>
      </c>
    </row>
    <row r="9" spans="17:20" ht="16.5" customHeight="1">
      <c r="Q9" s="369"/>
      <c r="R9" s="237" t="s">
        <v>174</v>
      </c>
      <c r="S9" s="236" t="s">
        <v>89</v>
      </c>
      <c r="T9" s="260">
        <f>F19</f>
        <v>52.5</v>
      </c>
    </row>
    <row r="10" spans="17:20" ht="16.5" customHeight="1">
      <c r="Q10" s="220">
        <v>5</v>
      </c>
      <c r="R10" s="237" t="s">
        <v>125</v>
      </c>
      <c r="S10" s="236" t="s">
        <v>15</v>
      </c>
      <c r="T10" s="263">
        <f>C19*2</f>
        <v>42</v>
      </c>
    </row>
    <row r="11" spans="17:20" ht="16.5" customHeight="1">
      <c r="Q11" s="220">
        <v>6</v>
      </c>
      <c r="R11" s="237" t="s">
        <v>51</v>
      </c>
      <c r="S11" s="236" t="s">
        <v>15</v>
      </c>
      <c r="T11" s="263">
        <f>H17</f>
        <v>21</v>
      </c>
    </row>
    <row r="12" spans="17:20" ht="16.5" customHeight="1">
      <c r="Q12" s="220">
        <v>7</v>
      </c>
      <c r="R12" s="237" t="s">
        <v>52</v>
      </c>
      <c r="S12" s="236" t="s">
        <v>15</v>
      </c>
      <c r="T12" s="263">
        <f>'saboloo-7'!G48</f>
        <v>6</v>
      </c>
    </row>
    <row r="13" spans="17:20" ht="16.5" customHeight="1">
      <c r="Q13" s="220">
        <v>8</v>
      </c>
      <c r="R13" s="237" t="s">
        <v>175</v>
      </c>
      <c r="S13" s="236" t="s">
        <v>15</v>
      </c>
      <c r="T13" s="263">
        <f>C19</f>
        <v>21</v>
      </c>
    </row>
    <row r="14" spans="17:20" ht="16.5" customHeight="1">
      <c r="Q14" s="220">
        <v>9</v>
      </c>
      <c r="R14" s="237" t="s">
        <v>150</v>
      </c>
      <c r="S14" s="238" t="s">
        <v>5</v>
      </c>
      <c r="T14" s="260">
        <f>'saboloo-7'!G33</f>
        <v>24.57</v>
      </c>
    </row>
    <row r="15" spans="17:20" ht="16.5" customHeight="1">
      <c r="Q15" s="220">
        <v>10</v>
      </c>
      <c r="R15" s="237" t="s">
        <v>203</v>
      </c>
      <c r="S15" s="238" t="s">
        <v>204</v>
      </c>
      <c r="T15" s="262">
        <f>'saboloo-7'!G26</f>
        <v>0.41727</v>
      </c>
    </row>
    <row r="16" spans="17:20" ht="16.5" customHeight="1">
      <c r="Q16" s="220">
        <v>11</v>
      </c>
      <c r="R16" s="237" t="s">
        <v>205</v>
      </c>
      <c r="S16" s="238" t="s">
        <v>206</v>
      </c>
      <c r="T16" s="260">
        <f>'saboloo-7'!G27</f>
        <v>3.78</v>
      </c>
    </row>
    <row r="17" spans="2:8" ht="43.5" customHeight="1">
      <c r="B17" s="239" t="s">
        <v>176</v>
      </c>
      <c r="C17" s="239" t="s">
        <v>177</v>
      </c>
      <c r="D17" s="239" t="s">
        <v>178</v>
      </c>
      <c r="E17" s="239" t="s">
        <v>179</v>
      </c>
      <c r="F17" s="239" t="s">
        <v>180</v>
      </c>
      <c r="H17" s="258">
        <f>'saboloo-7'!G12</f>
        <v>21</v>
      </c>
    </row>
    <row r="18" spans="2:8" ht="33" customHeight="1">
      <c r="B18" s="240" t="s">
        <v>181</v>
      </c>
      <c r="C18" s="241">
        <f>H17</f>
        <v>21</v>
      </c>
      <c r="D18" s="242">
        <f>H18/1.02</f>
        <v>668.1764705882354</v>
      </c>
      <c r="E18" s="240">
        <v>1.02</v>
      </c>
      <c r="F18" s="242">
        <f>E18*D18</f>
        <v>681.5400000000001</v>
      </c>
      <c r="H18" s="259">
        <f>'saboloo-7'!G44</f>
        <v>681.5400000000001</v>
      </c>
    </row>
    <row r="19" spans="2:8" ht="33" customHeight="1">
      <c r="B19" s="240" t="s">
        <v>182</v>
      </c>
      <c r="C19" s="241">
        <f>H17</f>
        <v>21</v>
      </c>
      <c r="D19" s="240">
        <v>2.5</v>
      </c>
      <c r="E19" s="240">
        <v>1</v>
      </c>
      <c r="F19" s="242">
        <f>E19*D19*C19</f>
        <v>52.5</v>
      </c>
      <c r="H19" s="259">
        <f>F19</f>
        <v>52.5</v>
      </c>
    </row>
    <row r="20" ht="21" customHeight="1">
      <c r="H20" s="243">
        <f>SUM(H18:H19)</f>
        <v>734.0400000000001</v>
      </c>
    </row>
    <row r="23" spans="9:16" ht="21" customHeight="1">
      <c r="I23" s="370" t="s">
        <v>183</v>
      </c>
      <c r="J23" s="371"/>
      <c r="K23" s="371"/>
      <c r="L23" s="371"/>
      <c r="M23" s="371"/>
      <c r="N23" s="371"/>
      <c r="O23" s="371"/>
      <c r="P23" s="372"/>
    </row>
    <row r="24" spans="9:16" ht="54.75" customHeight="1">
      <c r="I24" s="244" t="s">
        <v>184</v>
      </c>
      <c r="J24" s="244" t="s">
        <v>185</v>
      </c>
      <c r="K24" s="239" t="s">
        <v>186</v>
      </c>
      <c r="L24" s="239" t="s">
        <v>187</v>
      </c>
      <c r="M24" s="239" t="s">
        <v>188</v>
      </c>
      <c r="N24" s="239" t="s">
        <v>189</v>
      </c>
      <c r="O24" s="239" t="s">
        <v>190</v>
      </c>
      <c r="P24" s="239" t="s">
        <v>191</v>
      </c>
    </row>
    <row r="25" spans="9:16" ht="21" customHeight="1">
      <c r="I25" s="373" t="s">
        <v>192</v>
      </c>
      <c r="J25" s="245">
        <v>1</v>
      </c>
      <c r="K25" s="245" t="s">
        <v>193</v>
      </c>
      <c r="L25" s="245">
        <v>10000</v>
      </c>
      <c r="M25" s="245">
        <f>H17</f>
        <v>21</v>
      </c>
      <c r="N25" s="245">
        <f>M25*L25/1000</f>
        <v>210</v>
      </c>
      <c r="O25" s="245">
        <v>14</v>
      </c>
      <c r="P25" s="246">
        <f>O25*N25</f>
        <v>2940</v>
      </c>
    </row>
    <row r="26" spans="9:16" ht="21" customHeight="1">
      <c r="I26" s="374"/>
      <c r="J26" s="245">
        <v>2</v>
      </c>
      <c r="K26" s="245" t="s">
        <v>194</v>
      </c>
      <c r="L26" s="245">
        <v>2000</v>
      </c>
      <c r="M26" s="245">
        <f>H17</f>
        <v>21</v>
      </c>
      <c r="N26" s="245">
        <f>M26*L26/1000</f>
        <v>42</v>
      </c>
      <c r="O26" s="245">
        <v>4.32</v>
      </c>
      <c r="P26" s="245">
        <f>O26*N26</f>
        <v>181.44</v>
      </c>
    </row>
    <row r="27" spans="9:16" ht="21" customHeight="1">
      <c r="I27" s="374"/>
      <c r="J27" s="245">
        <v>3</v>
      </c>
      <c r="K27" s="245" t="s">
        <v>202</v>
      </c>
      <c r="L27" s="245">
        <v>200</v>
      </c>
      <c r="M27" s="245">
        <f>H17</f>
        <v>21</v>
      </c>
      <c r="N27" s="245">
        <f>M27*L27/1000</f>
        <v>4.2</v>
      </c>
      <c r="O27" s="245">
        <v>2.74</v>
      </c>
      <c r="P27" s="245">
        <f>O27*N27</f>
        <v>11.508000000000001</v>
      </c>
    </row>
    <row r="28" spans="9:16" ht="21.75" customHeight="1">
      <c r="I28" s="375"/>
      <c r="J28" s="376" t="s">
        <v>195</v>
      </c>
      <c r="K28" s="377"/>
      <c r="L28" s="378"/>
      <c r="M28" s="379"/>
      <c r="N28" s="379"/>
      <c r="O28" s="380"/>
      <c r="P28" s="247">
        <f>SUM(P25:P27)</f>
        <v>3132.948</v>
      </c>
    </row>
    <row r="30" spans="17:21" ht="28.5" customHeight="1">
      <c r="Q30" s="381" t="s">
        <v>166</v>
      </c>
      <c r="R30" s="382"/>
      <c r="S30" s="232" t="s">
        <v>167</v>
      </c>
      <c r="T30" s="232" t="s">
        <v>2</v>
      </c>
      <c r="U30" s="248" t="s">
        <v>196</v>
      </c>
    </row>
    <row r="31" spans="17:21" ht="15.75" customHeight="1">
      <c r="Q31" s="249">
        <v>1</v>
      </c>
      <c r="R31" s="250">
        <v>2</v>
      </c>
      <c r="S31" s="251">
        <v>3</v>
      </c>
      <c r="T31" s="251">
        <v>4</v>
      </c>
      <c r="U31" s="252">
        <v>5</v>
      </c>
    </row>
    <row r="32" spans="17:21" ht="23.25" customHeight="1">
      <c r="Q32" s="261">
        <v>1</v>
      </c>
      <c r="R32" s="253" t="s">
        <v>197</v>
      </c>
      <c r="S32" s="254" t="s">
        <v>15</v>
      </c>
      <c r="T32" s="255">
        <f>H17</f>
        <v>21</v>
      </c>
      <c r="U32" s="364">
        <v>1</v>
      </c>
    </row>
    <row r="33" spans="17:21" ht="23.25" customHeight="1">
      <c r="Q33" s="261">
        <v>2</v>
      </c>
      <c r="R33" s="256" t="s">
        <v>198</v>
      </c>
      <c r="S33" s="254" t="s">
        <v>15</v>
      </c>
      <c r="T33" s="255">
        <f>H17</f>
        <v>21</v>
      </c>
      <c r="U33" s="365"/>
    </row>
    <row r="34" spans="17:21" ht="23.25" customHeight="1">
      <c r="Q34" s="261">
        <v>3</v>
      </c>
      <c r="R34" s="256" t="s">
        <v>199</v>
      </c>
      <c r="S34" s="254" t="s">
        <v>15</v>
      </c>
      <c r="T34" s="255"/>
      <c r="U34" s="366"/>
    </row>
    <row r="35" spans="17:21" ht="23.25" customHeight="1">
      <c r="Q35" s="261">
        <v>4</v>
      </c>
      <c r="R35" s="253" t="s">
        <v>200</v>
      </c>
      <c r="S35" s="254" t="s">
        <v>89</v>
      </c>
      <c r="T35" s="255">
        <f>T7</f>
        <v>734.0400000000001</v>
      </c>
      <c r="U35" s="364">
        <v>1</v>
      </c>
    </row>
    <row r="36" spans="17:21" ht="23.25" customHeight="1">
      <c r="Q36" s="261">
        <v>5</v>
      </c>
      <c r="R36" s="257" t="s">
        <v>201</v>
      </c>
      <c r="S36" s="254" t="s">
        <v>15</v>
      </c>
      <c r="T36" s="255">
        <f>H17</f>
        <v>21</v>
      </c>
      <c r="U36" s="366"/>
    </row>
  </sheetData>
  <sheetProtection/>
  <mergeCells count="8">
    <mergeCell ref="U32:U34"/>
    <mergeCell ref="U35:U36"/>
    <mergeCell ref="Q7:Q9"/>
    <mergeCell ref="I23:P23"/>
    <mergeCell ref="I25:I28"/>
    <mergeCell ref="J28:K28"/>
    <mergeCell ref="L28:O28"/>
    <mergeCell ref="Q30:R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M39" sqref="A2:M39"/>
    </sheetView>
  </sheetViews>
  <sheetFormatPr defaultColWidth="9.00390625" defaultRowHeight="12.75"/>
  <cols>
    <col min="1" max="1" width="3.00390625" style="264" customWidth="1"/>
    <col min="2" max="2" width="3.625" style="264" customWidth="1"/>
    <col min="3" max="3" width="42.625" style="265" customWidth="1"/>
    <col min="4" max="4" width="7.375" style="264" customWidth="1"/>
    <col min="5" max="5" width="7.125" style="264" customWidth="1"/>
    <col min="6" max="6" width="8.375" style="264" customWidth="1"/>
    <col min="7" max="7" width="7.625" style="264" customWidth="1"/>
    <col min="8" max="8" width="8.375" style="264" customWidth="1"/>
    <col min="9" max="9" width="7.75390625" style="264" customWidth="1"/>
    <col min="10" max="10" width="9.875" style="264" customWidth="1"/>
    <col min="11" max="11" width="8.00390625" style="264" customWidth="1"/>
    <col min="12" max="12" width="8.375" style="264" customWidth="1"/>
    <col min="13" max="13" width="13.875" style="264" customWidth="1"/>
    <col min="14" max="16384" width="9.125" style="264" customWidth="1"/>
  </cols>
  <sheetData>
    <row r="2" spans="1:13" ht="25.5" customHeight="1">
      <c r="A2" s="393" t="s">
        <v>208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2:13" s="265" customFormat="1" ht="18" customHeight="1">
      <c r="B3" s="394" t="s">
        <v>209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2:13" s="266" customFormat="1" ht="9.75" customHeight="1">
      <c r="B4" s="267"/>
      <c r="C4" s="268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2:13" ht="20.25" customHeight="1">
      <c r="B5" s="395" t="s">
        <v>210</v>
      </c>
      <c r="C5" s="398" t="s">
        <v>211</v>
      </c>
      <c r="D5" s="391" t="s">
        <v>212</v>
      </c>
      <c r="E5" s="402" t="s">
        <v>213</v>
      </c>
      <c r="F5" s="403"/>
      <c r="G5" s="387" t="s">
        <v>214</v>
      </c>
      <c r="H5" s="404"/>
      <c r="I5" s="404"/>
      <c r="J5" s="404"/>
      <c r="K5" s="404"/>
      <c r="L5" s="404"/>
      <c r="M5" s="388"/>
    </row>
    <row r="6" spans="2:13" ht="18.75" customHeight="1">
      <c r="B6" s="396"/>
      <c r="C6" s="399"/>
      <c r="D6" s="401"/>
      <c r="E6" s="391" t="s">
        <v>215</v>
      </c>
      <c r="F6" s="391" t="s">
        <v>216</v>
      </c>
      <c r="G6" s="387" t="s">
        <v>217</v>
      </c>
      <c r="H6" s="388"/>
      <c r="I6" s="387" t="s">
        <v>218</v>
      </c>
      <c r="J6" s="388"/>
      <c r="K6" s="387" t="s">
        <v>219</v>
      </c>
      <c r="L6" s="388"/>
      <c r="M6" s="384" t="s">
        <v>220</v>
      </c>
    </row>
    <row r="7" spans="2:13" ht="20.25" customHeight="1">
      <c r="B7" s="396"/>
      <c r="C7" s="399"/>
      <c r="D7" s="401"/>
      <c r="E7" s="401"/>
      <c r="F7" s="401"/>
      <c r="G7" s="391" t="s">
        <v>221</v>
      </c>
      <c r="H7" s="384" t="s">
        <v>222</v>
      </c>
      <c r="I7" s="391" t="s">
        <v>221</v>
      </c>
      <c r="J7" s="384" t="s">
        <v>222</v>
      </c>
      <c r="K7" s="391" t="s">
        <v>221</v>
      </c>
      <c r="L7" s="384" t="s">
        <v>222</v>
      </c>
      <c r="M7" s="390"/>
    </row>
    <row r="8" spans="2:13" ht="42.75" customHeight="1">
      <c r="B8" s="397"/>
      <c r="C8" s="400"/>
      <c r="D8" s="392"/>
      <c r="E8" s="392"/>
      <c r="F8" s="392"/>
      <c r="G8" s="392"/>
      <c r="H8" s="385"/>
      <c r="I8" s="392"/>
      <c r="J8" s="385"/>
      <c r="K8" s="392"/>
      <c r="L8" s="385"/>
      <c r="M8" s="385"/>
    </row>
    <row r="9" spans="2:13" ht="15">
      <c r="B9" s="301">
        <v>1</v>
      </c>
      <c r="C9" s="302">
        <v>2</v>
      </c>
      <c r="D9" s="301">
        <v>3</v>
      </c>
      <c r="E9" s="301">
        <v>4</v>
      </c>
      <c r="F9" s="301">
        <v>5</v>
      </c>
      <c r="G9" s="301">
        <v>6</v>
      </c>
      <c r="H9" s="301">
        <v>7</v>
      </c>
      <c r="I9" s="301">
        <v>8</v>
      </c>
      <c r="J9" s="301">
        <v>9</v>
      </c>
      <c r="K9" s="301">
        <v>10</v>
      </c>
      <c r="L9" s="301">
        <v>11</v>
      </c>
      <c r="M9" s="301">
        <v>12</v>
      </c>
    </row>
    <row r="10" spans="2:13" ht="45">
      <c r="B10" s="269">
        <v>1</v>
      </c>
      <c r="C10" s="270" t="s">
        <v>229</v>
      </c>
      <c r="D10" s="271" t="s">
        <v>230</v>
      </c>
      <c r="E10" s="271"/>
      <c r="F10" s="271">
        <v>21</v>
      </c>
      <c r="G10" s="272">
        <v>0</v>
      </c>
      <c r="H10" s="272">
        <f>G10*F10</f>
        <v>0</v>
      </c>
      <c r="I10" s="272">
        <v>0</v>
      </c>
      <c r="J10" s="272">
        <f>F10*I10</f>
        <v>0</v>
      </c>
      <c r="K10" s="272">
        <v>0</v>
      </c>
      <c r="L10" s="272">
        <f>K10*F10</f>
        <v>0</v>
      </c>
      <c r="M10" s="273">
        <f>L10+J10+H10</f>
        <v>0</v>
      </c>
    </row>
    <row r="11" spans="2:13" ht="19.5" customHeight="1">
      <c r="B11" s="274">
        <v>2</v>
      </c>
      <c r="C11" s="270" t="s">
        <v>231</v>
      </c>
      <c r="D11" s="271" t="s">
        <v>232</v>
      </c>
      <c r="E11" s="271"/>
      <c r="F11" s="275">
        <v>4.12</v>
      </c>
      <c r="G11" s="272">
        <v>0</v>
      </c>
      <c r="H11" s="272">
        <f>G11*F11</f>
        <v>0</v>
      </c>
      <c r="I11" s="272">
        <v>0</v>
      </c>
      <c r="J11" s="272">
        <f>F11*I11</f>
        <v>0</v>
      </c>
      <c r="K11" s="272">
        <v>0</v>
      </c>
      <c r="L11" s="272">
        <f>K11*F11</f>
        <v>0</v>
      </c>
      <c r="M11" s="273">
        <f>L11+J11+H11</f>
        <v>0</v>
      </c>
    </row>
    <row r="12" spans="2:13" ht="19.5" customHeight="1">
      <c r="B12" s="274"/>
      <c r="C12" s="276" t="s">
        <v>233</v>
      </c>
      <c r="D12" s="271" t="s">
        <v>232</v>
      </c>
      <c r="E12" s="277">
        <v>1.015</v>
      </c>
      <c r="F12" s="278">
        <v>4.1818</v>
      </c>
      <c r="G12" s="272">
        <v>0</v>
      </c>
      <c r="H12" s="272">
        <f>G12*F12</f>
        <v>0</v>
      </c>
      <c r="I12" s="272">
        <v>0</v>
      </c>
      <c r="J12" s="272">
        <f>F12*I12</f>
        <v>0</v>
      </c>
      <c r="K12" s="272">
        <v>0</v>
      </c>
      <c r="L12" s="272">
        <f>K12*F12</f>
        <v>0</v>
      </c>
      <c r="M12" s="273">
        <f>L12+J12+H12</f>
        <v>0</v>
      </c>
    </row>
    <row r="13" spans="2:13" ht="30">
      <c r="B13" s="279">
        <v>3</v>
      </c>
      <c r="C13" s="280" t="s">
        <v>234</v>
      </c>
      <c r="D13" s="271" t="s">
        <v>230</v>
      </c>
      <c r="E13" s="271"/>
      <c r="F13" s="281">
        <v>21</v>
      </c>
      <c r="G13" s="272">
        <v>0</v>
      </c>
      <c r="H13" s="272">
        <f aca="true" t="shared" si="0" ref="H13:H28">G13*F13</f>
        <v>0</v>
      </c>
      <c r="I13" s="272">
        <v>0</v>
      </c>
      <c r="J13" s="272">
        <f aca="true" t="shared" si="1" ref="J13:J28">F13*I13</f>
        <v>0</v>
      </c>
      <c r="K13" s="272">
        <v>0</v>
      </c>
      <c r="L13" s="272">
        <f aca="true" t="shared" si="2" ref="L13:L28">K13*F13</f>
        <v>0</v>
      </c>
      <c r="M13" s="273">
        <f aca="true" t="shared" si="3" ref="M13:M28">L13+J13+H13</f>
        <v>0</v>
      </c>
    </row>
    <row r="14" spans="2:13" ht="19.5" customHeight="1">
      <c r="B14" s="282"/>
      <c r="C14" s="276" t="s">
        <v>235</v>
      </c>
      <c r="D14" s="277" t="s">
        <v>236</v>
      </c>
      <c r="E14" s="277" t="s">
        <v>255</v>
      </c>
      <c r="F14" s="283">
        <v>210</v>
      </c>
      <c r="G14" s="272">
        <v>0</v>
      </c>
      <c r="H14" s="272">
        <f t="shared" si="0"/>
        <v>0</v>
      </c>
      <c r="I14" s="272">
        <v>0</v>
      </c>
      <c r="J14" s="272">
        <f t="shared" si="1"/>
        <v>0</v>
      </c>
      <c r="K14" s="272">
        <v>0</v>
      </c>
      <c r="L14" s="272">
        <f t="shared" si="2"/>
        <v>0</v>
      </c>
      <c r="M14" s="273">
        <f t="shared" si="3"/>
        <v>0</v>
      </c>
    </row>
    <row r="15" spans="2:13" ht="19.5" customHeight="1">
      <c r="B15" s="282"/>
      <c r="C15" s="276" t="s">
        <v>237</v>
      </c>
      <c r="D15" s="277" t="s">
        <v>236</v>
      </c>
      <c r="E15" s="277" t="s">
        <v>255</v>
      </c>
      <c r="F15" s="283">
        <v>42</v>
      </c>
      <c r="G15" s="272">
        <v>0</v>
      </c>
      <c r="H15" s="272">
        <f t="shared" si="0"/>
        <v>0</v>
      </c>
      <c r="I15" s="272">
        <v>0</v>
      </c>
      <c r="J15" s="272">
        <f t="shared" si="1"/>
        <v>0</v>
      </c>
      <c r="K15" s="272">
        <v>0</v>
      </c>
      <c r="L15" s="272">
        <f t="shared" si="2"/>
        <v>0</v>
      </c>
      <c r="M15" s="273">
        <f t="shared" si="3"/>
        <v>0</v>
      </c>
    </row>
    <row r="16" spans="2:13" ht="19.5" customHeight="1">
      <c r="B16" s="282"/>
      <c r="C16" s="276" t="s">
        <v>238</v>
      </c>
      <c r="D16" s="277" t="s">
        <v>236</v>
      </c>
      <c r="E16" s="277" t="s">
        <v>255</v>
      </c>
      <c r="F16" s="277">
        <v>4.2</v>
      </c>
      <c r="G16" s="272">
        <v>0</v>
      </c>
      <c r="H16" s="272">
        <f t="shared" si="0"/>
        <v>0</v>
      </c>
      <c r="I16" s="272">
        <v>0</v>
      </c>
      <c r="J16" s="272">
        <f t="shared" si="1"/>
        <v>0</v>
      </c>
      <c r="K16" s="272">
        <v>0</v>
      </c>
      <c r="L16" s="272">
        <f t="shared" si="2"/>
        <v>0</v>
      </c>
      <c r="M16" s="273">
        <f t="shared" si="3"/>
        <v>0</v>
      </c>
    </row>
    <row r="17" spans="2:13" ht="28.5" customHeight="1">
      <c r="B17" s="284"/>
      <c r="C17" s="276" t="s">
        <v>256</v>
      </c>
      <c r="D17" s="277" t="s">
        <v>239</v>
      </c>
      <c r="E17" s="277" t="s">
        <v>255</v>
      </c>
      <c r="F17" s="285">
        <v>0.417</v>
      </c>
      <c r="G17" s="272">
        <v>0</v>
      </c>
      <c r="H17" s="272">
        <f t="shared" si="0"/>
        <v>0</v>
      </c>
      <c r="I17" s="272">
        <v>0</v>
      </c>
      <c r="J17" s="272">
        <f t="shared" si="1"/>
        <v>0</v>
      </c>
      <c r="K17" s="272">
        <v>0</v>
      </c>
      <c r="L17" s="272">
        <f t="shared" si="2"/>
        <v>0</v>
      </c>
      <c r="M17" s="273">
        <f t="shared" si="3"/>
        <v>0</v>
      </c>
    </row>
    <row r="18" spans="2:13" ht="30">
      <c r="B18" s="284"/>
      <c r="C18" s="276" t="s">
        <v>240</v>
      </c>
      <c r="D18" s="277" t="s">
        <v>241</v>
      </c>
      <c r="E18" s="277" t="s">
        <v>255</v>
      </c>
      <c r="F18" s="285">
        <v>3.78</v>
      </c>
      <c r="G18" s="272">
        <v>0</v>
      </c>
      <c r="H18" s="272">
        <f t="shared" si="0"/>
        <v>0</v>
      </c>
      <c r="I18" s="272">
        <v>0</v>
      </c>
      <c r="J18" s="272">
        <f t="shared" si="1"/>
        <v>0</v>
      </c>
      <c r="K18" s="272">
        <v>0</v>
      </c>
      <c r="L18" s="272">
        <f t="shared" si="2"/>
        <v>0</v>
      </c>
      <c r="M18" s="273">
        <f t="shared" si="3"/>
        <v>0</v>
      </c>
    </row>
    <row r="19" spans="2:13" ht="28.5" customHeight="1">
      <c r="B19" s="274">
        <v>4</v>
      </c>
      <c r="C19" s="280" t="s">
        <v>242</v>
      </c>
      <c r="D19" s="271" t="s">
        <v>243</v>
      </c>
      <c r="E19" s="271" t="s">
        <v>4</v>
      </c>
      <c r="F19" s="286">
        <v>98.28</v>
      </c>
      <c r="G19" s="272">
        <v>0</v>
      </c>
      <c r="H19" s="272">
        <f t="shared" si="0"/>
        <v>0</v>
      </c>
      <c r="I19" s="272">
        <v>0</v>
      </c>
      <c r="J19" s="272">
        <f t="shared" si="1"/>
        <v>0</v>
      </c>
      <c r="K19" s="272">
        <v>0</v>
      </c>
      <c r="L19" s="272">
        <f t="shared" si="2"/>
        <v>0</v>
      </c>
      <c r="M19" s="273">
        <f t="shared" si="3"/>
        <v>0</v>
      </c>
    </row>
    <row r="20" spans="2:13" ht="19.5" customHeight="1">
      <c r="B20" s="274"/>
      <c r="C20" s="287" t="s">
        <v>244</v>
      </c>
      <c r="D20" s="288" t="s">
        <v>245</v>
      </c>
      <c r="E20" s="288">
        <v>0.25</v>
      </c>
      <c r="F20" s="289">
        <v>24.57</v>
      </c>
      <c r="G20" s="272">
        <v>0</v>
      </c>
      <c r="H20" s="272">
        <f t="shared" si="0"/>
        <v>0</v>
      </c>
      <c r="I20" s="272">
        <v>0</v>
      </c>
      <c r="J20" s="272">
        <f t="shared" si="1"/>
        <v>0</v>
      </c>
      <c r="K20" s="272">
        <v>0</v>
      </c>
      <c r="L20" s="272">
        <f t="shared" si="2"/>
        <v>0</v>
      </c>
      <c r="M20" s="273">
        <f t="shared" si="3"/>
        <v>0</v>
      </c>
    </row>
    <row r="21" spans="2:13" ht="27.75" customHeight="1">
      <c r="B21" s="279">
        <v>5</v>
      </c>
      <c r="C21" s="280" t="s">
        <v>246</v>
      </c>
      <c r="D21" s="271" t="s">
        <v>230</v>
      </c>
      <c r="E21" s="271"/>
      <c r="F21" s="281">
        <v>21</v>
      </c>
      <c r="G21" s="272">
        <v>0</v>
      </c>
      <c r="H21" s="272">
        <f t="shared" si="0"/>
        <v>0</v>
      </c>
      <c r="I21" s="272">
        <v>0</v>
      </c>
      <c r="J21" s="272">
        <f t="shared" si="1"/>
        <v>0</v>
      </c>
      <c r="K21" s="272">
        <v>0</v>
      </c>
      <c r="L21" s="272">
        <f t="shared" si="2"/>
        <v>0</v>
      </c>
      <c r="M21" s="273">
        <f t="shared" si="3"/>
        <v>0</v>
      </c>
    </row>
    <row r="22" spans="2:13" ht="44.25" customHeight="1">
      <c r="B22" s="290"/>
      <c r="C22" s="276" t="s">
        <v>247</v>
      </c>
      <c r="D22" s="303" t="s">
        <v>230</v>
      </c>
      <c r="E22" s="277">
        <v>1</v>
      </c>
      <c r="F22" s="291">
        <v>21</v>
      </c>
      <c r="G22" s="272">
        <v>0</v>
      </c>
      <c r="H22" s="272">
        <f t="shared" si="0"/>
        <v>0</v>
      </c>
      <c r="I22" s="272">
        <v>0</v>
      </c>
      <c r="J22" s="272">
        <f t="shared" si="1"/>
        <v>0</v>
      </c>
      <c r="K22" s="272">
        <v>0</v>
      </c>
      <c r="L22" s="272">
        <f t="shared" si="2"/>
        <v>0</v>
      </c>
      <c r="M22" s="273">
        <f t="shared" si="3"/>
        <v>0</v>
      </c>
    </row>
    <row r="23" spans="2:13" ht="27.75" customHeight="1">
      <c r="B23" s="279">
        <v>6</v>
      </c>
      <c r="C23" s="280" t="s">
        <v>248</v>
      </c>
      <c r="D23" s="271" t="s">
        <v>249</v>
      </c>
      <c r="E23" s="271"/>
      <c r="F23" s="292">
        <v>734.0400000000001</v>
      </c>
      <c r="G23" s="272">
        <v>0</v>
      </c>
      <c r="H23" s="272">
        <f t="shared" si="0"/>
        <v>0</v>
      </c>
      <c r="I23" s="272">
        <v>0</v>
      </c>
      <c r="J23" s="272">
        <f t="shared" si="1"/>
        <v>0</v>
      </c>
      <c r="K23" s="272">
        <v>0</v>
      </c>
      <c r="L23" s="272">
        <f t="shared" si="2"/>
        <v>0</v>
      </c>
      <c r="M23" s="273">
        <f t="shared" si="3"/>
        <v>0</v>
      </c>
    </row>
    <row r="24" spans="2:13" ht="15.75" customHeight="1">
      <c r="B24" s="279"/>
      <c r="C24" s="287" t="s">
        <v>250</v>
      </c>
      <c r="D24" s="277" t="s">
        <v>249</v>
      </c>
      <c r="E24" s="277" t="s">
        <v>255</v>
      </c>
      <c r="F24" s="273">
        <v>681.5400000000001</v>
      </c>
      <c r="G24" s="272">
        <v>0</v>
      </c>
      <c r="H24" s="272">
        <f t="shared" si="0"/>
        <v>0</v>
      </c>
      <c r="I24" s="272">
        <v>0</v>
      </c>
      <c r="J24" s="272">
        <f t="shared" si="1"/>
        <v>0</v>
      </c>
      <c r="K24" s="272">
        <v>0</v>
      </c>
      <c r="L24" s="272">
        <f t="shared" si="2"/>
        <v>0</v>
      </c>
      <c r="M24" s="273">
        <f t="shared" si="3"/>
        <v>0</v>
      </c>
    </row>
    <row r="25" spans="2:13" ht="16.5" customHeight="1">
      <c r="B25" s="279"/>
      <c r="C25" s="287" t="s">
        <v>251</v>
      </c>
      <c r="D25" s="277" t="s">
        <v>249</v>
      </c>
      <c r="E25" s="277" t="s">
        <v>255</v>
      </c>
      <c r="F25" s="273">
        <v>52.5</v>
      </c>
      <c r="G25" s="272">
        <v>0</v>
      </c>
      <c r="H25" s="272">
        <f t="shared" si="0"/>
        <v>0</v>
      </c>
      <c r="I25" s="272">
        <v>0</v>
      </c>
      <c r="J25" s="272">
        <f t="shared" si="1"/>
        <v>0</v>
      </c>
      <c r="K25" s="272">
        <v>0</v>
      </c>
      <c r="L25" s="272">
        <f t="shared" si="2"/>
        <v>0</v>
      </c>
      <c r="M25" s="273">
        <f t="shared" si="3"/>
        <v>0</v>
      </c>
    </row>
    <row r="26" spans="2:13" ht="16.5" customHeight="1">
      <c r="B26" s="279"/>
      <c r="C26" s="276" t="s">
        <v>252</v>
      </c>
      <c r="D26" s="277" t="s">
        <v>230</v>
      </c>
      <c r="E26" s="277" t="s">
        <v>255</v>
      </c>
      <c r="F26" s="291">
        <v>42</v>
      </c>
      <c r="G26" s="272">
        <v>0</v>
      </c>
      <c r="H26" s="272">
        <f t="shared" si="0"/>
        <v>0</v>
      </c>
      <c r="I26" s="272">
        <v>0</v>
      </c>
      <c r="J26" s="272">
        <f t="shared" si="1"/>
        <v>0</v>
      </c>
      <c r="K26" s="272">
        <v>0</v>
      </c>
      <c r="L26" s="272">
        <f t="shared" si="2"/>
        <v>0</v>
      </c>
      <c r="M26" s="273">
        <f t="shared" si="3"/>
        <v>0</v>
      </c>
    </row>
    <row r="27" spans="2:13" ht="16.5" customHeight="1">
      <c r="B27" s="279"/>
      <c r="C27" s="276" t="s">
        <v>253</v>
      </c>
      <c r="D27" s="277" t="s">
        <v>230</v>
      </c>
      <c r="E27" s="277" t="s">
        <v>255</v>
      </c>
      <c r="F27" s="291">
        <v>21</v>
      </c>
      <c r="G27" s="272">
        <v>0</v>
      </c>
      <c r="H27" s="272">
        <f t="shared" si="0"/>
        <v>0</v>
      </c>
      <c r="I27" s="272">
        <v>0</v>
      </c>
      <c r="J27" s="272">
        <f t="shared" si="1"/>
        <v>0</v>
      </c>
      <c r="K27" s="272">
        <v>0</v>
      </c>
      <c r="L27" s="272">
        <f t="shared" si="2"/>
        <v>0</v>
      </c>
      <c r="M27" s="273">
        <f t="shared" si="3"/>
        <v>0</v>
      </c>
    </row>
    <row r="28" spans="2:13" ht="16.5" customHeight="1">
      <c r="B28" s="279"/>
      <c r="C28" s="276" t="s">
        <v>254</v>
      </c>
      <c r="D28" s="277" t="s">
        <v>230</v>
      </c>
      <c r="E28" s="277" t="s">
        <v>255</v>
      </c>
      <c r="F28" s="291">
        <v>6</v>
      </c>
      <c r="G28" s="272">
        <v>0</v>
      </c>
      <c r="H28" s="272">
        <f t="shared" si="0"/>
        <v>0</v>
      </c>
      <c r="I28" s="272">
        <v>0</v>
      </c>
      <c r="J28" s="272">
        <f t="shared" si="1"/>
        <v>0</v>
      </c>
      <c r="K28" s="272">
        <v>0</v>
      </c>
      <c r="L28" s="272">
        <f t="shared" si="2"/>
        <v>0</v>
      </c>
      <c r="M28" s="273">
        <f t="shared" si="3"/>
        <v>0</v>
      </c>
    </row>
    <row r="29" spans="2:13" ht="16.5" customHeight="1">
      <c r="B29" s="389" t="s">
        <v>220</v>
      </c>
      <c r="C29" s="389"/>
      <c r="D29" s="389"/>
      <c r="E29" s="389"/>
      <c r="F29" s="389"/>
      <c r="G29" s="293"/>
      <c r="H29" s="294">
        <f>SUM(H11:H28)</f>
        <v>0</v>
      </c>
      <c r="I29" s="294"/>
      <c r="J29" s="294">
        <f>SUM(J11:J28)</f>
        <v>0</v>
      </c>
      <c r="K29" s="294"/>
      <c r="L29" s="294">
        <f>SUM(L11:L28)</f>
        <v>0</v>
      </c>
      <c r="M29" s="294">
        <f>SUM(M11:M28)</f>
        <v>0</v>
      </c>
    </row>
    <row r="30" spans="2:13" ht="16.5" customHeight="1">
      <c r="B30" s="386" t="s">
        <v>223</v>
      </c>
      <c r="C30" s="386"/>
      <c r="D30" s="386"/>
      <c r="E30" s="386"/>
      <c r="F30" s="386"/>
      <c r="G30" s="295"/>
      <c r="H30" s="294"/>
      <c r="I30" s="294"/>
      <c r="J30" s="294">
        <f>J29*G30</f>
        <v>0</v>
      </c>
      <c r="K30" s="294"/>
      <c r="L30" s="294"/>
      <c r="M30" s="294">
        <f>J30</f>
        <v>0</v>
      </c>
    </row>
    <row r="31" spans="2:13" ht="16.5" customHeight="1">
      <c r="B31" s="383" t="s">
        <v>220</v>
      </c>
      <c r="C31" s="383"/>
      <c r="D31" s="383"/>
      <c r="E31" s="383"/>
      <c r="F31" s="383"/>
      <c r="G31" s="296"/>
      <c r="H31" s="294"/>
      <c r="I31" s="294"/>
      <c r="J31" s="294"/>
      <c r="K31" s="294"/>
      <c r="L31" s="294"/>
      <c r="M31" s="294">
        <f>SUM(M29:M30)</f>
        <v>0</v>
      </c>
    </row>
    <row r="32" spans="2:13" ht="16.5" customHeight="1">
      <c r="B32" s="386" t="s">
        <v>224</v>
      </c>
      <c r="C32" s="386"/>
      <c r="D32" s="386"/>
      <c r="E32" s="386"/>
      <c r="F32" s="386"/>
      <c r="G32" s="295"/>
      <c r="H32" s="294"/>
      <c r="I32" s="294"/>
      <c r="J32" s="294"/>
      <c r="K32" s="294"/>
      <c r="L32" s="294"/>
      <c r="M32" s="294">
        <f>M31*G32</f>
        <v>0</v>
      </c>
    </row>
    <row r="33" spans="2:13" ht="16.5" customHeight="1">
      <c r="B33" s="383" t="s">
        <v>220</v>
      </c>
      <c r="C33" s="383"/>
      <c r="D33" s="383"/>
      <c r="E33" s="383"/>
      <c r="F33" s="383"/>
      <c r="G33" s="297"/>
      <c r="H33" s="294"/>
      <c r="I33" s="294"/>
      <c r="J33" s="294"/>
      <c r="K33" s="294"/>
      <c r="L33" s="294"/>
      <c r="M33" s="294">
        <f>SUM(M31:M32)</f>
        <v>0</v>
      </c>
    </row>
    <row r="34" spans="2:13" ht="16.5" customHeight="1">
      <c r="B34" s="386" t="s">
        <v>225</v>
      </c>
      <c r="C34" s="386"/>
      <c r="D34" s="386"/>
      <c r="E34" s="386"/>
      <c r="F34" s="386"/>
      <c r="G34" s="295"/>
      <c r="H34" s="294"/>
      <c r="I34" s="294"/>
      <c r="J34" s="294"/>
      <c r="K34" s="294"/>
      <c r="L34" s="294"/>
      <c r="M34" s="294">
        <f>M33*G34</f>
        <v>0</v>
      </c>
    </row>
    <row r="35" spans="2:13" ht="16.5" customHeight="1">
      <c r="B35" s="383" t="s">
        <v>220</v>
      </c>
      <c r="C35" s="383"/>
      <c r="D35" s="383"/>
      <c r="E35" s="383"/>
      <c r="F35" s="383"/>
      <c r="G35" s="295"/>
      <c r="H35" s="294"/>
      <c r="I35" s="294"/>
      <c r="J35" s="294"/>
      <c r="K35" s="294"/>
      <c r="L35" s="294"/>
      <c r="M35" s="294">
        <f>SUM(M33:M34)</f>
        <v>0</v>
      </c>
    </row>
    <row r="36" spans="2:13" ht="16.5" customHeight="1">
      <c r="B36" s="386" t="s">
        <v>226</v>
      </c>
      <c r="C36" s="386"/>
      <c r="D36" s="386"/>
      <c r="E36" s="386"/>
      <c r="F36" s="386"/>
      <c r="G36" s="295">
        <v>0.015</v>
      </c>
      <c r="H36" s="294"/>
      <c r="I36" s="294"/>
      <c r="J36" s="294"/>
      <c r="K36" s="294"/>
      <c r="L36" s="294"/>
      <c r="M36" s="294">
        <f>M35*G36</f>
        <v>0</v>
      </c>
    </row>
    <row r="37" spans="2:13" ht="16.5" customHeight="1">
      <c r="B37" s="383" t="s">
        <v>220</v>
      </c>
      <c r="C37" s="383"/>
      <c r="D37" s="383"/>
      <c r="E37" s="383"/>
      <c r="F37" s="383"/>
      <c r="G37" s="295"/>
      <c r="H37" s="294"/>
      <c r="I37" s="294"/>
      <c r="J37" s="294"/>
      <c r="K37" s="294"/>
      <c r="L37" s="294"/>
      <c r="M37" s="294">
        <f>SUM(M35:M36)</f>
        <v>0</v>
      </c>
    </row>
    <row r="38" spans="2:13" ht="16.5" customHeight="1">
      <c r="B38" s="386" t="s">
        <v>227</v>
      </c>
      <c r="C38" s="386"/>
      <c r="D38" s="386"/>
      <c r="E38" s="386"/>
      <c r="F38" s="386"/>
      <c r="G38" s="295">
        <v>0.18</v>
      </c>
      <c r="H38" s="294"/>
      <c r="I38" s="294"/>
      <c r="J38" s="294"/>
      <c r="K38" s="294"/>
      <c r="L38" s="294"/>
      <c r="M38" s="294">
        <f>M37*G38</f>
        <v>0</v>
      </c>
    </row>
    <row r="39" spans="2:13" ht="16.5" customHeight="1">
      <c r="B39" s="383" t="s">
        <v>228</v>
      </c>
      <c r="C39" s="383"/>
      <c r="D39" s="383"/>
      <c r="E39" s="383"/>
      <c r="F39" s="383"/>
      <c r="G39" s="298"/>
      <c r="H39" s="294"/>
      <c r="I39" s="294"/>
      <c r="J39" s="294"/>
      <c r="K39" s="294"/>
      <c r="L39" s="294"/>
      <c r="M39" s="299">
        <f>SUM(M37:M38)</f>
        <v>0</v>
      </c>
    </row>
    <row r="40" ht="19.5">
      <c r="E40" s="300"/>
    </row>
  </sheetData>
  <sheetProtection/>
  <mergeCells count="30">
    <mergeCell ref="K7:K8"/>
    <mergeCell ref="A2:M2"/>
    <mergeCell ref="B3:M3"/>
    <mergeCell ref="B5:B8"/>
    <mergeCell ref="C5:C8"/>
    <mergeCell ref="D5:D8"/>
    <mergeCell ref="E5:F5"/>
    <mergeCell ref="G5:M5"/>
    <mergeCell ref="E6:E8"/>
    <mergeCell ref="F6:F8"/>
    <mergeCell ref="B34:F34"/>
    <mergeCell ref="G6:H6"/>
    <mergeCell ref="B29:F29"/>
    <mergeCell ref="I6:J6"/>
    <mergeCell ref="K6:L6"/>
    <mergeCell ref="M6:M8"/>
    <mergeCell ref="G7:G8"/>
    <mergeCell ref="H7:H8"/>
    <mergeCell ref="I7:I8"/>
    <mergeCell ref="J7:J8"/>
    <mergeCell ref="B35:F35"/>
    <mergeCell ref="L7:L8"/>
    <mergeCell ref="B36:F36"/>
    <mergeCell ref="B37:F37"/>
    <mergeCell ref="B38:F38"/>
    <mergeCell ref="B39:F39"/>
    <mergeCell ref="B30:F30"/>
    <mergeCell ref="B31:F31"/>
    <mergeCell ref="B32:F32"/>
    <mergeCell ref="B33:F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dato</cp:lastModifiedBy>
  <cp:lastPrinted>2015-02-10T06:55:59Z</cp:lastPrinted>
  <dcterms:created xsi:type="dcterms:W3CDTF">2004-12-20T11:27:35Z</dcterms:created>
  <dcterms:modified xsi:type="dcterms:W3CDTF">2015-02-11T11:01:44Z</dcterms:modified>
  <cp:category/>
  <cp:version/>
  <cp:contentType/>
  <cp:contentStatus/>
</cp:coreProperties>
</file>