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0" windowWidth="11235" windowHeight="9975" firstSheet="1" activeTab="4"/>
  </bookViews>
  <sheets>
    <sheet name="1-2" sheetId="1" r:id="rId1"/>
    <sheet name="axali 2015-1" sheetId="2" r:id="rId2"/>
    <sheet name="saboloo-1" sheetId="3" r:id="rId3"/>
    <sheet name="Лист1" sheetId="4" r:id="rId4"/>
    <sheet name="satendero" sheetId="5" r:id="rId5"/>
  </sheets>
  <definedNames>
    <definedName name="_xlnm.Print_Area" localSheetId="0">'1-2'!$A$1:$M$51</definedName>
  </definedNames>
  <calcPr fullCalcOnLoad="1"/>
</workbook>
</file>

<file path=xl/sharedStrings.xml><?xml version="1.0" encoding="utf-8"?>
<sst xmlns="http://schemas.openxmlformats.org/spreadsheetml/2006/main" count="609" uniqueCount="253">
  <si>
    <t># #</t>
  </si>
  <si>
    <t>samuSaoebisa da danaxarjebis dasaxeleba</t>
  </si>
  <si>
    <t>raodenoba</t>
  </si>
  <si>
    <t>sul</t>
  </si>
  <si>
    <t>_</t>
  </si>
  <si>
    <t>kg</t>
  </si>
  <si>
    <t>t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</si>
  <si>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</si>
  <si>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</si>
  <si>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</si>
  <si>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</si>
  <si>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</si>
  <si>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</si>
  <si>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</si>
  <si>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</si>
  <si>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</si>
  <si>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cali</t>
  </si>
  <si>
    <t>saxarjTaRricxvo Rirebuleba</t>
  </si>
  <si>
    <t>erTeuli</t>
  </si>
  <si>
    <t>dRg-s CaTvliT</t>
  </si>
  <si>
    <t>dRg - 18%</t>
  </si>
  <si>
    <t>mTlianad</t>
  </si>
  <si>
    <t>sxva manqanebi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</si>
  <si>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</si>
  <si>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sxva masalebi</t>
  </si>
  <si>
    <t>lari</t>
  </si>
  <si>
    <t>sabazro fasebi</t>
  </si>
  <si>
    <t>m-sT</t>
  </si>
  <si>
    <t>k-sT</t>
  </si>
  <si>
    <t xml:space="preserve">_SromiTi danaxarji             </t>
  </si>
  <si>
    <t>Rirebuleba (lari)</t>
  </si>
  <si>
    <t>grZ/m</t>
  </si>
  <si>
    <t>zednadebi xarjebi 10%</t>
  </si>
  <si>
    <t>gegmiuri dagroveba 8%</t>
  </si>
  <si>
    <t>meqanizmebi</t>
  </si>
  <si>
    <t xml:space="preserve">_meqanizmebi             </t>
  </si>
  <si>
    <t>ormoebis Sevseba bet. b-15</t>
  </si>
  <si>
    <t>metalis boZebis SeRebva antikoroziuli saRebaviT orjer</t>
  </si>
  <si>
    <t xml:space="preserve">saRebavis Rirebuleba </t>
  </si>
  <si>
    <t>Sualeduri damWeri</t>
  </si>
  <si>
    <t>ankeruli damWeri</t>
  </si>
  <si>
    <t xml:space="preserve">         jami</t>
  </si>
  <si>
    <t>gauTvaliswinebeli xarjebi - 3 %</t>
  </si>
  <si>
    <t>spilenZis el-sadenenis  2X2,5 Rirebuleba</t>
  </si>
  <si>
    <r>
      <t xml:space="preserve"> m</t>
    </r>
    <r>
      <rPr>
        <vertAlign val="superscript"/>
        <sz val="12"/>
        <color indexed="8"/>
        <rFont val="AcadNusx"/>
        <family val="0"/>
      </rPr>
      <t>3</t>
    </r>
  </si>
  <si>
    <t>liTonis mili d=139X4 mm</t>
  </si>
  <si>
    <r>
      <t xml:space="preserve"> m</t>
    </r>
    <r>
      <rPr>
        <vertAlign val="superscript"/>
        <sz val="12"/>
        <color indexed="8"/>
        <rFont val="AcadNusx"/>
        <family val="0"/>
      </rPr>
      <t>2</t>
    </r>
  </si>
  <si>
    <t>satransporto xarjebi Sida gadazidvebze_3 %</t>
  </si>
  <si>
    <t xml:space="preserve">savaraudo xarjTaRricxva </t>
  </si>
  <si>
    <t xml:space="preserve">       direqtori:              d. eliava</t>
  </si>
  <si>
    <t>liTonis mili d=50X3 mm</t>
  </si>
  <si>
    <t>srf12-70</t>
  </si>
  <si>
    <r>
      <t>sanaTi (70</t>
    </r>
    <r>
      <rPr>
        <sz val="12"/>
        <color indexed="8"/>
        <rFont val="Arial"/>
        <family val="2"/>
      </rPr>
      <t>W</t>
    </r>
    <r>
      <rPr>
        <sz val="12"/>
        <color indexed="8"/>
        <rFont val="AcadNusx"/>
        <family val="0"/>
      </rPr>
      <t>)</t>
    </r>
  </si>
  <si>
    <t>srf32-23</t>
  </si>
  <si>
    <t>ormoebis amoReba boZebis dayenebis adgilebSi ormoamomTxremi manqaniT da damuSaveba xeliT</t>
  </si>
  <si>
    <t>sip-sadenis 4X16 Rirebuleba</t>
  </si>
  <si>
    <t>liTonis ganaTebis boZebis damzadeba da mowyoba betonSi</t>
  </si>
  <si>
    <t>saden-kabelebis, naTurebis mowyoba da montaJi</t>
  </si>
  <si>
    <t xml:space="preserve"> </t>
  </si>
  <si>
    <t xml:space="preserve">           Seadgina:   Sps "profesionali-33"-s</t>
  </si>
  <si>
    <r>
      <t xml:space="preserve">Sedgenilia: </t>
    </r>
    <r>
      <rPr>
        <sz val="12"/>
        <rFont val="AcadNusx"/>
        <family val="0"/>
      </rPr>
      <t>1984wlis saxarjTaRricxvo normativebisa da 2014 wlis I kvartlis sabazro resursul fasebSi</t>
    </r>
  </si>
  <si>
    <t>srf117-286</t>
  </si>
  <si>
    <t>srf77-39</t>
  </si>
  <si>
    <t>srf74-158</t>
  </si>
  <si>
    <t>srf29-273</t>
  </si>
  <si>
    <t>srf11-38</t>
  </si>
  <si>
    <t>saburRi manqana-avtoamwe</t>
  </si>
  <si>
    <t>1-50</t>
  </si>
  <si>
    <t>33-4-3</t>
  </si>
  <si>
    <t>8-619-6</t>
  </si>
  <si>
    <t>mxvretavi damWeri</t>
  </si>
  <si>
    <t>srf172</t>
  </si>
  <si>
    <t>srf169</t>
  </si>
  <si>
    <t>srf173</t>
  </si>
  <si>
    <t>amwe savt.svlaze 6,3t</t>
  </si>
  <si>
    <t>srf111-42</t>
  </si>
  <si>
    <t>betonis Rirebuleba transportirebiT b-15</t>
  </si>
  <si>
    <t>6-2</t>
  </si>
  <si>
    <t>15-164-8</t>
  </si>
  <si>
    <t xml:space="preserve">                guramiSvilis quCis da guramiSvilis Cixis gare ganaTebis mowyobis</t>
  </si>
  <si>
    <t>sn da w. IV-84w.
1-50</t>
  </si>
  <si>
    <t xml:space="preserve">sabazro </t>
  </si>
  <si>
    <t xml:space="preserve">betoni b-15 transportirebiT </t>
  </si>
  <si>
    <r>
      <t xml:space="preserve"> m</t>
    </r>
    <r>
      <rPr>
        <vertAlign val="superscript"/>
        <sz val="10"/>
        <color indexed="8"/>
        <rFont val="AcadNusx"/>
        <family val="0"/>
      </rPr>
      <t>3</t>
    </r>
  </si>
  <si>
    <t>sn da w. IV-84w.
9-19-1</t>
  </si>
  <si>
    <t>kc/sT</t>
  </si>
  <si>
    <t>srf 2-70</t>
  </si>
  <si>
    <t>liTonis mili d=139X4mm</t>
  </si>
  <si>
    <t>gr/m</t>
  </si>
  <si>
    <t>pr</t>
  </si>
  <si>
    <t>srf 2-19</t>
  </si>
  <si>
    <t>liTonis mili d=50X3mm</t>
  </si>
  <si>
    <t>srf 2-16</t>
  </si>
  <si>
    <t>liTonis mili d=40X3,5mm</t>
  </si>
  <si>
    <t>srf12-286</t>
  </si>
  <si>
    <t>mq/sT</t>
  </si>
  <si>
    <t>srf1-9-14</t>
  </si>
  <si>
    <t>eleqtrodi</t>
  </si>
  <si>
    <t>kg.</t>
  </si>
  <si>
    <t>sn da w. IV-84w.
15-164-7</t>
  </si>
  <si>
    <r>
      <t xml:space="preserve"> m</t>
    </r>
    <r>
      <rPr>
        <b/>
        <vertAlign val="superscript"/>
        <sz val="10"/>
        <color indexed="8"/>
        <rFont val="AcadNusx"/>
        <family val="0"/>
      </rPr>
      <t>2</t>
    </r>
  </si>
  <si>
    <t>srf 4,2-23</t>
  </si>
  <si>
    <t>saRebavis ZeTovani, marali xarisxis</t>
  </si>
  <si>
    <t>grZ.m</t>
  </si>
  <si>
    <t>sn da w. IV-84w.
34-119-8</t>
  </si>
  <si>
    <t>saden-kabelebis montaJi</t>
  </si>
  <si>
    <t>kac.sT</t>
  </si>
  <si>
    <t>34-119,8</t>
  </si>
  <si>
    <t>srf12,-77</t>
  </si>
  <si>
    <t>koSkura teleskopuri 0,35tn</t>
  </si>
  <si>
    <t>manq.sT</t>
  </si>
  <si>
    <t>sabazro</t>
  </si>
  <si>
    <r>
      <t xml:space="preserve">sanaTi (56X26X17) -(70 </t>
    </r>
    <r>
      <rPr>
        <sz val="10"/>
        <color indexed="8"/>
        <rFont val="Arial"/>
        <family val="2"/>
      </rPr>
      <t>W)</t>
    </r>
    <r>
      <rPr>
        <sz val="10"/>
        <color indexed="8"/>
        <rFont val="AcadNusx"/>
        <family val="0"/>
      </rPr>
      <t>,simZlavre 35-125</t>
    </r>
    <r>
      <rPr>
        <sz val="10"/>
        <color indexed="8"/>
        <rFont val="Arial"/>
        <family val="2"/>
      </rPr>
      <t>W,</t>
    </r>
    <r>
      <rPr>
        <sz val="10"/>
        <color indexed="8"/>
        <rFont val="AcadNusx"/>
        <family val="0"/>
      </rPr>
      <t xml:space="preserve"> sixSire 50hc, Zbva230, dura aluminis hermetiuli korpusiT. Qquro-e-27  </t>
    </r>
    <r>
      <rPr>
        <sz val="10"/>
        <color indexed="8"/>
        <rFont val="Calibri"/>
        <family val="2"/>
      </rPr>
      <t>IP-65</t>
    </r>
  </si>
  <si>
    <t xml:space="preserve">zednadebi xarjebi </t>
  </si>
  <si>
    <t xml:space="preserve">gegmiuri dagroveba </t>
  </si>
  <si>
    <t xml:space="preserve">gauTvaliswinebeli xarjebi </t>
  </si>
  <si>
    <t xml:space="preserve">dRg </t>
  </si>
  <si>
    <t>srf 1,5-29</t>
  </si>
  <si>
    <t>liTonis furceli 2,5mm sisqis 14-cali boZis qudisTvis d=139X3mm</t>
  </si>
  <si>
    <r>
      <t xml:space="preserve"> m</t>
    </r>
    <r>
      <rPr>
        <vertAlign val="superscript"/>
        <sz val="10"/>
        <color indexed="8"/>
        <rFont val="AcadNusx"/>
        <family val="0"/>
      </rPr>
      <t>2</t>
    </r>
  </si>
  <si>
    <t>srf 1,1-22</t>
  </si>
  <si>
    <t>liTonis glinula d=10mm kauWi sigrZiT 17sm</t>
  </si>
  <si>
    <t>m</t>
  </si>
  <si>
    <t>lesia ukrainkas quCis gare ganaTebis  mowyobis</t>
  </si>
  <si>
    <t>satransporto xarjebi Sida gadazidvebze masalidan</t>
  </si>
  <si>
    <t xml:space="preserve"> liTonis ganaTebis boZebis damzadeba da montaJi lampionebiT</t>
  </si>
  <si>
    <t xml:space="preserve"> saden-kabelebis 
montaJi liTonis boZebze </t>
  </si>
  <si>
    <r>
      <rPr>
        <sz val="10"/>
        <color indexed="8"/>
        <rFont val="Grigolia"/>
        <family val="0"/>
      </rPr>
      <t>aluminis izolirebuli  sadeni</t>
    </r>
    <r>
      <rPr>
        <sz val="10"/>
        <color indexed="8"/>
        <rFont val="Arial"/>
        <family val="2"/>
      </rPr>
      <t xml:space="preserve">  ABBГ</t>
    </r>
    <r>
      <rPr>
        <sz val="10"/>
        <color indexed="8"/>
        <rFont val="AcadNusx"/>
        <family val="0"/>
      </rPr>
      <t>4X16</t>
    </r>
  </si>
  <si>
    <r>
      <t>spilenZis ZarRviTABB</t>
    </r>
    <r>
      <rPr>
        <sz val="10"/>
        <color indexed="8"/>
        <rFont val="Arial"/>
        <family val="2"/>
      </rPr>
      <t xml:space="preserve">ППВ-3  </t>
    </r>
    <r>
      <rPr>
        <sz val="10"/>
        <color indexed="8"/>
        <rFont val="AcadNusx"/>
        <family val="0"/>
      </rPr>
      <t>2X2,5</t>
    </r>
  </si>
  <si>
    <t>srf 7,2 b)-81</t>
  </si>
  <si>
    <t>srf7,4-112</t>
  </si>
  <si>
    <r>
      <t>m</t>
    </r>
    <r>
      <rPr>
        <b/>
        <vertAlign val="superscript"/>
        <sz val="10"/>
        <color indexed="8"/>
        <rFont val="AcadNusx"/>
        <family val="0"/>
      </rPr>
      <t>3</t>
    </r>
  </si>
  <si>
    <t>sazomi
 erTeuli</t>
  </si>
  <si>
    <r>
      <rPr>
        <b/>
        <sz val="10"/>
        <rFont val="AcadNusx"/>
        <family val="0"/>
      </rPr>
      <t xml:space="preserve">Sedgenilia:    </t>
    </r>
    <r>
      <rPr>
        <sz val="11"/>
        <rFont val="AcadNusx"/>
        <family val="0"/>
      </rPr>
      <t>1984 wlis saxarjTaRricxvo normativebisa da 2014 wlis IV kvartlis sabazro resursul fasebSi</t>
    </r>
  </si>
  <si>
    <t>sn da w. IV-84w. 6-2-1</t>
  </si>
  <si>
    <r>
      <t xml:space="preserve">Sedgenilia: </t>
    </r>
    <r>
      <rPr>
        <sz val="12"/>
        <rFont val="AcadNusx"/>
        <family val="0"/>
      </rPr>
      <t>1984 wlis saxarjTaRricxvo normativebisa da 2014 wlis IV kvartlis sabazro resursul fasebSi</t>
    </r>
  </si>
  <si>
    <t>sn da w. IV-84w. 33-303-2</t>
  </si>
  <si>
    <t>ormoebis amoReba boZebis dayenebis adgilebSi ormoamomTxremi manqaniT da montaJi</t>
  </si>
  <si>
    <t xml:space="preserve">saburRi manqana-avtoamwe sirTulis k=1,15 </t>
  </si>
  <si>
    <t>sn da w. IV-84w. 33-303-4</t>
  </si>
  <si>
    <t>sxva manqanebi( SemduRebelia agregati, balgarka)</t>
  </si>
  <si>
    <t xml:space="preserve">liTonis mili d=40X3,0mm </t>
  </si>
  <si>
    <t>sxva masalebi (balgarkis diski, el energia)</t>
  </si>
  <si>
    <t>srf12-</t>
  </si>
  <si>
    <t>saRebavis zeTovani, maRali xarisxis</t>
  </si>
  <si>
    <t>sn da w. IV-84w.
21-26-8</t>
  </si>
  <si>
    <t xml:space="preserve"> sanaTebis
montaJi liTonis boZebze </t>
  </si>
  <si>
    <t xml:space="preserve">Sromis danaxarji </t>
  </si>
  <si>
    <t>koSkura</t>
  </si>
  <si>
    <r>
      <t xml:space="preserve">sanaTi (56X26X17) -(70 </t>
    </r>
    <r>
      <rPr>
        <sz val="10"/>
        <color indexed="8"/>
        <rFont val="Arial"/>
        <family val="2"/>
      </rPr>
      <t>W)</t>
    </r>
    <r>
      <rPr>
        <sz val="10"/>
        <color indexed="8"/>
        <rFont val="AcadNusx"/>
        <family val="0"/>
      </rPr>
      <t>,simZlavre 35-125</t>
    </r>
    <r>
      <rPr>
        <sz val="10"/>
        <color indexed="8"/>
        <rFont val="Arial"/>
        <family val="2"/>
      </rPr>
      <t>W,</t>
    </r>
    <r>
      <rPr>
        <sz val="10"/>
        <color indexed="8"/>
        <rFont val="AcadNusx"/>
        <family val="0"/>
      </rPr>
      <t xml:space="preserve"> sixSire 50hc, Zbva 230V, dura aluminis  korpusiT. quro-e-27 </t>
    </r>
    <r>
      <rPr>
        <sz val="11"/>
        <color indexed="8"/>
        <rFont val="Calibri"/>
        <family val="2"/>
      </rPr>
      <t>IP-65</t>
    </r>
  </si>
  <si>
    <t>sn da w. IV-84w.
33-115-2</t>
  </si>
  <si>
    <t>Sromis danaxarji (34,4+1,48X20)/1000</t>
  </si>
  <si>
    <t>sxva manqanebi (3,21+20X0,09)/1000</t>
  </si>
  <si>
    <t>koSkura teleskopuri 0,35tn  (12,7+0,82X20)/1000 Xk=1,15</t>
  </si>
  <si>
    <t>wona  1m.</t>
  </si>
  <si>
    <t xml:space="preserve"> ABBГ4X16</t>
  </si>
  <si>
    <r>
      <t xml:space="preserve"> saden-kabelebis </t>
    </r>
    <r>
      <rPr>
        <b/>
        <sz val="10"/>
        <color indexed="8"/>
        <rFont val="AcadNusx"/>
        <family val="0"/>
      </rPr>
      <t xml:space="preserve">
montaJi liTonis boZebze </t>
    </r>
  </si>
  <si>
    <r>
      <rPr>
        <sz val="10"/>
        <color indexed="8"/>
        <rFont val="Grigolia"/>
        <family val="0"/>
      </rPr>
      <t>aluminis izolirebuli  sadeni</t>
    </r>
    <r>
      <rPr>
        <sz val="10"/>
        <color indexed="8"/>
        <rFont val="Arial"/>
        <family val="2"/>
      </rPr>
      <t xml:space="preserve">  ABBГ</t>
    </r>
    <r>
      <rPr>
        <sz val="10"/>
        <color indexed="8"/>
        <rFont val="AcadNusx"/>
        <family val="0"/>
      </rPr>
      <t>4X16 (k=1,02 Camozneqvis)</t>
    </r>
  </si>
  <si>
    <t>milmzdi saavtomobilo svlaze 9t.</t>
  </si>
  <si>
    <t xml:space="preserve"> liTonis ganaTebis boZebis damzadeba (datvirTva CamotvirTva) </t>
  </si>
  <si>
    <t>milebis transportireba  100km-ze</t>
  </si>
  <si>
    <t xml:space="preserve">_SromiTi danaxarji   sirTulis k=1,15          </t>
  </si>
  <si>
    <t>srf. 12-14</t>
  </si>
  <si>
    <t>kabelis 
kveTi</t>
  </si>
  <si>
    <t>boZebis
raodenoba</t>
  </si>
  <si>
    <t>kabelis 
sigrZe</t>
  </si>
  <si>
    <t>mTliani sigrZe</t>
  </si>
  <si>
    <t>АВВГ 4x16</t>
  </si>
  <si>
    <t>ППИ-3 2x2,5</t>
  </si>
  <si>
    <t>kabelis
 Camozneqvis 
koeficienti 2%</t>
  </si>
  <si>
    <t>zomebi 
mm.</t>
  </si>
  <si>
    <t>dasax
eleba</t>
  </si>
  <si>
    <t>pozicia
 #</t>
  </si>
  <si>
    <t>sigrZe
mm.</t>
  </si>
  <si>
    <t>raodenoba
cali</t>
  </si>
  <si>
    <t>wona
kg.</t>
  </si>
  <si>
    <t>mTliani 
wona</t>
  </si>
  <si>
    <t>m i l e b i s   s p e c i f i k a c i a</t>
  </si>
  <si>
    <t>gare ganaTebis boZi</t>
  </si>
  <si>
    <t>saerTo
 sigrZe
m.</t>
  </si>
  <si>
    <t>sul kg.</t>
  </si>
  <si>
    <t>samuSaoTa dasaxeleba</t>
  </si>
  <si>
    <t xml:space="preserve">ormoebis amoReba boZebis dayenebis adgilebSi ormoamomTxremi manqaniT </t>
  </si>
  <si>
    <t>ganaTebis boZebis montaJi</t>
  </si>
  <si>
    <t>saZirkvlebis Sevseba betoniT b-15</t>
  </si>
  <si>
    <t xml:space="preserve">saden-kabelis montaJi </t>
  </si>
  <si>
    <t>maT Soris  АВВГ 4X16</t>
  </si>
  <si>
    <t>maT Soris  ППВ 2X2,5</t>
  </si>
  <si>
    <t>ganzom.</t>
  </si>
  <si>
    <t>maqanata
raodenoba</t>
  </si>
  <si>
    <t xml:space="preserve">ormoebis amoReba ormoamomTxremi manqaniT </t>
  </si>
  <si>
    <t>1. saburRi manqana a/amwe</t>
  </si>
  <si>
    <t>ф-139X4</t>
  </si>
  <si>
    <t>ф-50X3</t>
  </si>
  <si>
    <r>
      <t xml:space="preserve"> m</t>
    </r>
    <r>
      <rPr>
        <vertAlign val="superscript"/>
        <sz val="11"/>
        <color indexed="8"/>
        <rFont val="AcadNusx"/>
        <family val="0"/>
      </rPr>
      <t>3</t>
    </r>
  </si>
  <si>
    <t>amwekalaTa, koSkura teleskopuri</t>
  </si>
  <si>
    <t>sanaTi lapioni 70vt.</t>
  </si>
  <si>
    <t>lTonis ganaTebis boZebis montaJi</t>
  </si>
  <si>
    <t>saden-kabelisa da sanaTebis montaJi</t>
  </si>
  <si>
    <t>ф-40X3</t>
  </si>
  <si>
    <t>liTonis furceli 2,5mm sisqis</t>
  </si>
  <si>
    <r>
      <t xml:space="preserve"> m</t>
    </r>
    <r>
      <rPr>
        <vertAlign val="superscript"/>
        <sz val="11"/>
        <color indexed="8"/>
        <rFont val="AcadNusx"/>
        <family val="0"/>
      </rPr>
      <t>2</t>
    </r>
  </si>
  <si>
    <t xml:space="preserve">liTonis glinula d=10mm </t>
  </si>
  <si>
    <t>gr.m.</t>
  </si>
  <si>
    <t>ლესია უკრაინკას ქუჩის გარე განათების მოწყობის</t>
  </si>
  <si>
    <t>ხარჯთაღრიცხვა</t>
  </si>
  <si>
    <t>№</t>
  </si>
  <si>
    <t>სამუშაოების და დანახარჯების დასახელება</t>
  </si>
  <si>
    <t>საზომი ერთეული</t>
  </si>
  <si>
    <t>რაოდენობა</t>
  </si>
  <si>
    <t>ღირებულება (ლარი)</t>
  </si>
  <si>
    <t>ნორმატივით ერთეულზე</t>
  </si>
  <si>
    <t>საპროექტო მონაცემებით</t>
  </si>
  <si>
    <t>ხელფასი</t>
  </si>
  <si>
    <t>მასალები</t>
  </si>
  <si>
    <t>ტრანსპორტი</t>
  </si>
  <si>
    <t>ჯამი</t>
  </si>
  <si>
    <t>ერთეული</t>
  </si>
  <si>
    <t>სულ</t>
  </si>
  <si>
    <t>სატრანსპორტო ხარჯები შიდა გადაზიდვებზე მასალიდან</t>
  </si>
  <si>
    <t>ზედნადები ხარჯები</t>
  </si>
  <si>
    <t>გეგმიური დაგროვება</t>
  </si>
  <si>
    <t>გაუთვალისწინებელი ხარჯი</t>
  </si>
  <si>
    <t>დღგ</t>
  </si>
  <si>
    <t>მთლიანად</t>
  </si>
  <si>
    <t>ცალი</t>
  </si>
  <si>
    <r>
      <t>მ</t>
    </r>
    <r>
      <rPr>
        <b/>
        <sz val="10"/>
        <color indexed="8"/>
        <rFont val="Calibri"/>
        <family val="2"/>
      </rPr>
      <t>³</t>
    </r>
  </si>
  <si>
    <t>გრ/მ</t>
  </si>
  <si>
    <r>
      <t>მ</t>
    </r>
    <r>
      <rPr>
        <sz val="10"/>
        <color indexed="8"/>
        <rFont val="Calibri"/>
        <family val="2"/>
      </rPr>
      <t>²</t>
    </r>
  </si>
  <si>
    <t>მ</t>
  </si>
  <si>
    <r>
      <t>მ</t>
    </r>
    <r>
      <rPr>
        <b/>
        <sz val="10"/>
        <color indexed="8"/>
        <rFont val="Calibri"/>
        <family val="2"/>
      </rPr>
      <t>²</t>
    </r>
  </si>
  <si>
    <t>კგ</t>
  </si>
  <si>
    <t>გრძ.მ</t>
  </si>
  <si>
    <t>პრ</t>
  </si>
  <si>
    <t>ორმოების ამოღება ბოძების დაყენების ადგილებში ორმოამომთხრელი მანქანით და მონტაჟი</t>
  </si>
  <si>
    <t>ორმოების შევსება ბეტ. ბ-15</t>
  </si>
  <si>
    <t>ბეტონი ბ-15 ტრანსპორტირებით</t>
  </si>
  <si>
    <t>ლითონის მილი დ=139X4მმ</t>
  </si>
  <si>
    <t>ლითონის მილი დ=50X3მმ</t>
  </si>
  <si>
    <t>ლითონის მილი დ=40X3,0მმ</t>
  </si>
  <si>
    <t>ლითონის გლინულა დ=10მმ კაუჭი სიგრძით 17სმ</t>
  </si>
  <si>
    <t>მეტალის ბოძების შეღებვა ანტიკოროზიული საღებავით ორჯერ</t>
  </si>
  <si>
    <t>საღებავი ზეთოვანი, მაღალი ხარისხის</t>
  </si>
  <si>
    <t>სანათების მონტაჟი ლითონის ბოძებზე</t>
  </si>
  <si>
    <r>
      <t xml:space="preserve">სანათი (56X26X17) -(70 </t>
    </r>
    <r>
      <rPr>
        <sz val="10"/>
        <color indexed="8"/>
        <rFont val="Sylfaen"/>
        <family val="1"/>
      </rPr>
      <t xml:space="preserve">W), სიმძლავრე 35-125W, სიხშირე 50ჰც, ძაბვა 230V, დურა ალუმინის კორპუსით. ქურო-ე-27  </t>
    </r>
    <r>
      <rPr>
        <sz val="11"/>
        <color indexed="8"/>
        <rFont val="Sylfaen"/>
        <family val="1"/>
      </rPr>
      <t>IP-65</t>
    </r>
  </si>
  <si>
    <t>სადენ-კაბელების მონტაჟი ლითონის ბოძებზე</t>
  </si>
  <si>
    <t>სპილენძის ძარღვით ППВ-3  2X2,5</t>
  </si>
  <si>
    <t>მხვრეტავი დამჭერი</t>
  </si>
  <si>
    <t>შუალედური დამჭერი</t>
  </si>
  <si>
    <t>ანკერული დამჭერი</t>
  </si>
  <si>
    <t>ლითონის განათების ბოძების დამზადება (დატვირთვა-ჩამოტვირთვა)</t>
  </si>
  <si>
    <t>ლითონის ფურცელი 2,5მმ სისქის 14 ცალი ბოძის ქუდისთვის დ=139X3მმ</t>
  </si>
  <si>
    <t>ალუმინის იზოლირებული სადენი  ABBГ4X16 (კ=1,02 ჩამოზნექვის)</t>
  </si>
</sst>
</file>

<file path=xl/styles.xml><?xml version="1.0" encoding="utf-8"?>
<styleSheet xmlns="http://schemas.openxmlformats.org/spreadsheetml/2006/main">
  <numFmts count="4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  <numFmt numFmtId="192" formatCode="0.0%"/>
    <numFmt numFmtId="193" formatCode="[$-437]yyyy\ &quot;წლის&quot;\ dd\ mm\,\ dddd"/>
    <numFmt numFmtId="194" formatCode="_-* #,##0.000\ _L_a_r_i_-;\-* #,##0.000\ _L_a_r_i_-;_-* &quot;-&quot;???\ _L_a_r_i_-;_-@_-"/>
    <numFmt numFmtId="195" formatCode="0.00000000"/>
  </numFmts>
  <fonts count="106">
    <font>
      <sz val="10"/>
      <name val="Arial Cyr"/>
      <family val="0"/>
    </font>
    <font>
      <sz val="10"/>
      <name val="Grigolia"/>
      <family val="0"/>
    </font>
    <font>
      <b/>
      <sz val="12"/>
      <name val="AcadNusx"/>
      <family val="0"/>
    </font>
    <font>
      <sz val="12"/>
      <name val="AcadNusx"/>
      <family val="0"/>
    </font>
    <font>
      <b/>
      <u val="single"/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b/>
      <sz val="10"/>
      <name val="Tahoma"/>
      <family val="2"/>
    </font>
    <font>
      <b/>
      <sz val="14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AcadNusx"/>
      <family val="0"/>
    </font>
    <font>
      <b/>
      <sz val="12"/>
      <name val="Grigolia"/>
      <family val="0"/>
    </font>
    <font>
      <b/>
      <sz val="12"/>
      <name val="Tahoma"/>
      <family val="2"/>
    </font>
    <font>
      <b/>
      <sz val="11"/>
      <name val="Tahoma"/>
      <family val="2"/>
    </font>
    <font>
      <sz val="14"/>
      <name val="Grigolia"/>
      <family val="0"/>
    </font>
    <font>
      <b/>
      <sz val="14"/>
      <name val="Grigolia"/>
      <family val="0"/>
    </font>
    <font>
      <sz val="12"/>
      <color indexed="8"/>
      <name val="Arial"/>
      <family val="2"/>
    </font>
    <font>
      <sz val="10"/>
      <color indexed="8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b/>
      <i/>
      <sz val="10"/>
      <name val="AcadNusx"/>
      <family val="0"/>
    </font>
    <font>
      <sz val="10"/>
      <name val="AcadNusx"/>
      <family val="0"/>
    </font>
    <font>
      <vertAlign val="superscript"/>
      <sz val="10"/>
      <color indexed="8"/>
      <name val="AcadNusx"/>
      <family val="0"/>
    </font>
    <font>
      <b/>
      <vertAlign val="superscript"/>
      <sz val="10"/>
      <color indexed="8"/>
      <name val="AcadNusx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Grigolia"/>
      <family val="0"/>
    </font>
    <font>
      <sz val="11"/>
      <name val="AcadNusx"/>
      <family val="0"/>
    </font>
    <font>
      <sz val="11"/>
      <color indexed="8"/>
      <name val="Calibri"/>
      <family val="2"/>
    </font>
    <font>
      <sz val="10"/>
      <name val="AcadNusx_lb"/>
      <family val="1"/>
    </font>
    <font>
      <b/>
      <sz val="10"/>
      <color indexed="8"/>
      <name val="AcadNusx"/>
      <family val="0"/>
    </font>
    <font>
      <sz val="10"/>
      <name val="AcadMtavr"/>
      <family val="0"/>
    </font>
    <font>
      <b/>
      <i/>
      <sz val="10"/>
      <name val="Arial Cyr"/>
      <family val="0"/>
    </font>
    <font>
      <b/>
      <i/>
      <sz val="10"/>
      <name val="Grigolia"/>
      <family val="0"/>
    </font>
    <font>
      <b/>
      <i/>
      <sz val="10"/>
      <name val="AcadMtavr"/>
      <family val="0"/>
    </font>
    <font>
      <sz val="11"/>
      <name val="Grigolia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cadNusx_lb"/>
      <family val="1"/>
    </font>
    <font>
      <vertAlign val="superscript"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cadNusx"/>
      <family val="0"/>
    </font>
    <font>
      <b/>
      <sz val="12"/>
      <color indexed="8"/>
      <name val="AcadNusx"/>
      <family val="0"/>
    </font>
    <font>
      <b/>
      <u val="single"/>
      <sz val="12"/>
      <color indexed="8"/>
      <name val="AcadNusx"/>
      <family val="0"/>
    </font>
    <font>
      <sz val="11"/>
      <color indexed="8"/>
      <name val="AcadNusx"/>
      <family val="0"/>
    </font>
    <font>
      <sz val="8"/>
      <color indexed="8"/>
      <name val="AcadNusx"/>
      <family val="0"/>
    </font>
    <font>
      <sz val="9"/>
      <color indexed="8"/>
      <name val="AcadNusx"/>
      <family val="0"/>
    </font>
    <font>
      <b/>
      <sz val="10"/>
      <color indexed="10"/>
      <name val="Arial Cyr"/>
      <family val="0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4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2"/>
      <color indexed="8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b/>
      <sz val="14"/>
      <color rgb="FFFF0000"/>
      <name val="AcadNusx"/>
      <family val="0"/>
    </font>
    <font>
      <b/>
      <sz val="12"/>
      <color theme="1"/>
      <name val="AcadNusx"/>
      <family val="0"/>
    </font>
    <font>
      <b/>
      <u val="single"/>
      <sz val="12"/>
      <color theme="1"/>
      <name val="AcadNusx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  <font>
      <b/>
      <sz val="10"/>
      <color theme="1"/>
      <name val="AcadNusx"/>
      <family val="0"/>
    </font>
    <font>
      <sz val="8"/>
      <color theme="1"/>
      <name val="AcadNusx"/>
      <family val="0"/>
    </font>
    <font>
      <sz val="9"/>
      <color theme="1"/>
      <name val="AcadNusx"/>
      <family val="0"/>
    </font>
    <font>
      <b/>
      <sz val="10"/>
      <color rgb="FFFF0000"/>
      <name val="Arial Cyr"/>
      <family val="0"/>
    </font>
    <font>
      <sz val="12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92" fillId="0" borderId="12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2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181" fontId="92" fillId="0" borderId="10" xfId="0" applyNumberFormat="1" applyFont="1" applyBorder="1" applyAlignment="1">
      <alignment horizontal="center" vertical="center" wrapText="1"/>
    </xf>
    <xf numFmtId="0" fontId="92" fillId="0" borderId="14" xfId="0" applyFont="1" applyBorder="1" applyAlignment="1">
      <alignment horizontal="center" vertical="center" wrapText="1"/>
    </xf>
    <xf numFmtId="0" fontId="92" fillId="0" borderId="15" xfId="0" applyFont="1" applyBorder="1" applyAlignment="1">
      <alignment horizontal="center" vertical="center" wrapText="1"/>
    </xf>
    <xf numFmtId="2" fontId="92" fillId="0" borderId="10" xfId="0" applyNumberFormat="1" applyFont="1" applyBorder="1" applyAlignment="1">
      <alignment horizontal="center" vertical="center" wrapText="1"/>
    </xf>
    <xf numFmtId="0" fontId="92" fillId="0" borderId="12" xfId="0" applyFont="1" applyBorder="1" applyAlignment="1">
      <alignment horizontal="left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left" vertical="center" wrapText="1"/>
    </xf>
    <xf numFmtId="0" fontId="9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2" fillId="0" borderId="10" xfId="0" applyFont="1" applyFill="1" applyBorder="1" applyAlignment="1">
      <alignment horizontal="left" vertical="center" wrapText="1"/>
    </xf>
    <xf numFmtId="181" fontId="14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92" fillId="0" borderId="17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0" fontId="0" fillId="0" borderId="0" xfId="0" applyAlignment="1">
      <alignment wrapText="1"/>
    </xf>
    <xf numFmtId="2" fontId="2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1" fontId="92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9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81" fontId="92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2" fontId="92" fillId="0" borderId="11" xfId="0" applyNumberFormat="1" applyFont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/>
    </xf>
    <xf numFmtId="0" fontId="92" fillId="0" borderId="18" xfId="0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left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181" fontId="9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92" fillId="0" borderId="20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left" vertical="center" wrapText="1"/>
    </xf>
    <xf numFmtId="0" fontId="92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181" fontId="94" fillId="0" borderId="21" xfId="0" applyNumberFormat="1" applyFont="1" applyBorder="1" applyAlignment="1">
      <alignment horizontal="center" vertical="center" wrapText="1"/>
    </xf>
    <xf numFmtId="181" fontId="94" fillId="0" borderId="22" xfId="0" applyNumberFormat="1" applyFont="1" applyBorder="1" applyAlignment="1">
      <alignment horizontal="center" vertical="center" wrapText="1"/>
    </xf>
    <xf numFmtId="181" fontId="94" fillId="0" borderId="23" xfId="0" applyNumberFormat="1" applyFont="1" applyBorder="1" applyAlignment="1">
      <alignment horizontal="center" vertical="center" wrapText="1"/>
    </xf>
    <xf numFmtId="181" fontId="92" fillId="0" borderId="2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181" fontId="92" fillId="0" borderId="25" xfId="0" applyNumberFormat="1" applyFont="1" applyBorder="1" applyAlignment="1">
      <alignment horizontal="center" vertical="center" wrapText="1"/>
    </xf>
    <xf numFmtId="181" fontId="92" fillId="0" borderId="26" xfId="0" applyNumberFormat="1" applyFont="1" applyFill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92" fillId="0" borderId="28" xfId="0" applyFont="1" applyBorder="1" applyAlignment="1">
      <alignment horizontal="center" vertical="top" wrapText="1"/>
    </xf>
    <xf numFmtId="0" fontId="92" fillId="0" borderId="29" xfId="0" applyFont="1" applyFill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92" fillId="0" borderId="16" xfId="0" applyFont="1" applyBorder="1" applyAlignment="1">
      <alignment horizontal="left" vertical="center" wrapText="1"/>
    </xf>
    <xf numFmtId="2" fontId="92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181" fontId="92" fillId="0" borderId="21" xfId="0" applyNumberFormat="1" applyFont="1" applyBorder="1" applyAlignment="1">
      <alignment horizontal="center" vertical="center" wrapText="1"/>
    </xf>
    <xf numFmtId="181" fontId="3" fillId="0" borderId="21" xfId="0" applyNumberFormat="1" applyFont="1" applyBorder="1" applyAlignment="1">
      <alignment horizontal="center" vertical="center"/>
    </xf>
    <xf numFmtId="181" fontId="2" fillId="0" borderId="21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top"/>
    </xf>
    <xf numFmtId="181" fontId="3" fillId="0" borderId="18" xfId="0" applyNumberFormat="1" applyFont="1" applyBorder="1" applyAlignment="1">
      <alignment horizontal="center" vertical="center"/>
    </xf>
    <xf numFmtId="181" fontId="1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1" fontId="95" fillId="0" borderId="30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top" wrapText="1"/>
    </xf>
    <xf numFmtId="0" fontId="92" fillId="0" borderId="27" xfId="0" applyFont="1" applyBorder="1" applyAlignment="1">
      <alignment horizontal="center" vertical="top" wrapText="1"/>
    </xf>
    <xf numFmtId="0" fontId="92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92" fillId="0" borderId="12" xfId="0" applyFont="1" applyFill="1" applyBorder="1" applyAlignment="1">
      <alignment horizontal="left" vertical="center" wrapText="1"/>
    </xf>
    <xf numFmtId="181" fontId="92" fillId="0" borderId="31" xfId="0" applyNumberFormat="1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top" wrapText="1"/>
    </xf>
    <xf numFmtId="17" fontId="92" fillId="0" borderId="20" xfId="0" applyNumberFormat="1" applyFont="1" applyBorder="1" applyAlignment="1">
      <alignment horizontal="center" vertical="center" wrapText="1"/>
    </xf>
    <xf numFmtId="14" fontId="92" fillId="0" borderId="20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2" fillId="0" borderId="21" xfId="0" applyFont="1" applyBorder="1" applyAlignment="1">
      <alignment vertical="center" wrapText="1"/>
    </xf>
    <xf numFmtId="181" fontId="14" fillId="0" borderId="21" xfId="0" applyNumberFormat="1" applyFont="1" applyBorder="1" applyAlignment="1">
      <alignment horizontal="center" vertical="center"/>
    </xf>
    <xf numFmtId="181" fontId="14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top"/>
    </xf>
    <xf numFmtId="181" fontId="14" fillId="0" borderId="2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181" fontId="8" fillId="0" borderId="35" xfId="0" applyNumberFormat="1" applyFont="1" applyBorder="1" applyAlignment="1">
      <alignment horizontal="center" vertical="center"/>
    </xf>
    <xf numFmtId="181" fontId="13" fillId="0" borderId="36" xfId="0" applyNumberFormat="1" applyFont="1" applyBorder="1" applyAlignment="1">
      <alignment horizontal="center" vertical="center"/>
    </xf>
    <xf numFmtId="0" fontId="92" fillId="0" borderId="37" xfId="0" applyFont="1" applyBorder="1" applyAlignment="1">
      <alignment horizontal="center" vertical="top" wrapText="1"/>
    </xf>
    <xf numFmtId="181" fontId="3" fillId="0" borderId="10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92" fillId="0" borderId="33" xfId="0" applyFont="1" applyBorder="1" applyAlignment="1">
      <alignment horizontal="center" vertical="top" wrapText="1"/>
    </xf>
    <xf numFmtId="49" fontId="92" fillId="0" borderId="20" xfId="0" applyNumberFormat="1" applyFont="1" applyBorder="1" applyAlignment="1">
      <alignment horizontal="center" vertical="center" wrapText="1"/>
    </xf>
    <xf numFmtId="49" fontId="92" fillId="0" borderId="13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93" fillId="33" borderId="0" xfId="0" applyFont="1" applyFill="1" applyBorder="1" applyAlignment="1">
      <alignment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/>
    </xf>
    <xf numFmtId="49" fontId="96" fillId="0" borderId="10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40" xfId="0" applyFont="1" applyBorder="1" applyAlignment="1">
      <alignment vertical="center" wrapText="1"/>
    </xf>
    <xf numFmtId="0" fontId="96" fillId="0" borderId="41" xfId="0" applyFont="1" applyBorder="1" applyAlignment="1">
      <alignment vertical="center" wrapText="1"/>
    </xf>
    <xf numFmtId="0" fontId="96" fillId="0" borderId="42" xfId="0" applyFont="1" applyBorder="1" applyAlignment="1">
      <alignment vertical="center" wrapText="1"/>
    </xf>
    <xf numFmtId="0" fontId="96" fillId="0" borderId="11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left" vertical="center" wrapText="1"/>
    </xf>
    <xf numFmtId="2" fontId="22" fillId="0" borderId="11" xfId="0" applyNumberFormat="1" applyFont="1" applyBorder="1" applyAlignment="1">
      <alignment horizontal="center" vertical="center"/>
    </xf>
    <xf numFmtId="171" fontId="96" fillId="0" borderId="11" xfId="6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top" wrapText="1"/>
    </xf>
    <xf numFmtId="0" fontId="96" fillId="0" borderId="39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left" vertical="center" wrapText="1"/>
    </xf>
    <xf numFmtId="2" fontId="96" fillId="0" borderId="39" xfId="0" applyNumberFormat="1" applyFont="1" applyBorder="1" applyAlignment="1">
      <alignment horizontal="center" vertical="center" wrapText="1"/>
    </xf>
    <xf numFmtId="171" fontId="96" fillId="0" borderId="39" xfId="6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2" fontId="22" fillId="0" borderId="39" xfId="0" applyNumberFormat="1" applyFont="1" applyBorder="1" applyAlignment="1">
      <alignment horizontal="center" vertical="center"/>
    </xf>
    <xf numFmtId="0" fontId="92" fillId="0" borderId="44" xfId="0" applyFont="1" applyBorder="1" applyAlignment="1">
      <alignment horizontal="center" vertical="center" wrapText="1"/>
    </xf>
    <xf numFmtId="171" fontId="96" fillId="0" borderId="10" xfId="60" applyFont="1" applyBorder="1" applyAlignment="1">
      <alignment horizontal="center" vertical="center" wrapText="1"/>
    </xf>
    <xf numFmtId="181" fontId="96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top"/>
    </xf>
    <xf numFmtId="2" fontId="96" fillId="0" borderId="11" xfId="0" applyNumberFormat="1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181" fontId="22" fillId="0" borderId="39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97" fillId="0" borderId="44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wrapText="1"/>
    </xf>
    <xf numFmtId="180" fontId="96" fillId="0" borderId="11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left" vertical="center" wrapText="1"/>
    </xf>
    <xf numFmtId="2" fontId="96" fillId="0" borderId="10" xfId="0" applyNumberFormat="1" applyFont="1" applyBorder="1" applyAlignment="1">
      <alignment horizontal="center" vertical="center" wrapText="1"/>
    </xf>
    <xf numFmtId="0" fontId="97" fillId="0" borderId="43" xfId="0" applyFont="1" applyBorder="1" applyAlignment="1">
      <alignment horizontal="center" wrapText="1"/>
    </xf>
    <xf numFmtId="0" fontId="96" fillId="0" borderId="39" xfId="0" applyFont="1" applyBorder="1" applyAlignment="1">
      <alignment vertical="center" wrapText="1"/>
    </xf>
    <xf numFmtId="0" fontId="98" fillId="0" borderId="21" xfId="0" applyFont="1" applyBorder="1" applyAlignment="1">
      <alignment horizontal="left" vertical="center" wrapText="1"/>
    </xf>
    <xf numFmtId="0" fontId="98" fillId="0" borderId="21" xfId="0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/>
    </xf>
    <xf numFmtId="0" fontId="96" fillId="0" borderId="45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96" fillId="0" borderId="43" xfId="0" applyFont="1" applyFill="1" applyBorder="1" applyAlignment="1">
      <alignment horizontal="center" vertical="center" wrapText="1"/>
    </xf>
    <xf numFmtId="0" fontId="96" fillId="0" borderId="46" xfId="0" applyFont="1" applyFill="1" applyBorder="1" applyAlignment="1">
      <alignment horizontal="center" vertical="center" wrapText="1"/>
    </xf>
    <xf numFmtId="181" fontId="96" fillId="0" borderId="39" xfId="0" applyNumberFormat="1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6" fillId="0" borderId="14" xfId="0" applyFont="1" applyBorder="1" applyAlignment="1">
      <alignment vertical="center" wrapText="1"/>
    </xf>
    <xf numFmtId="0" fontId="96" fillId="0" borderId="19" xfId="0" applyFont="1" applyBorder="1" applyAlignment="1">
      <alignment vertical="center" wrapText="1"/>
    </xf>
    <xf numFmtId="0" fontId="96" fillId="0" borderId="47" xfId="0" applyFont="1" applyBorder="1" applyAlignment="1">
      <alignment vertical="center" wrapText="1"/>
    </xf>
    <xf numFmtId="0" fontId="96" fillId="0" borderId="17" xfId="0" applyFont="1" applyBorder="1" applyAlignment="1">
      <alignment vertical="center" wrapText="1"/>
    </xf>
    <xf numFmtId="0" fontId="96" fillId="0" borderId="11" xfId="0" applyFont="1" applyBorder="1" applyAlignment="1">
      <alignment vertical="center" wrapText="1"/>
    </xf>
    <xf numFmtId="0" fontId="96" fillId="0" borderId="12" xfId="0" applyFont="1" applyBorder="1" applyAlignment="1">
      <alignment vertical="center" wrapText="1"/>
    </xf>
    <xf numFmtId="0" fontId="96" fillId="33" borderId="11" xfId="0" applyFont="1" applyFill="1" applyBorder="1" applyAlignment="1">
      <alignment horizontal="center" vertical="center" wrapText="1"/>
    </xf>
    <xf numFmtId="0" fontId="97" fillId="0" borderId="12" xfId="0" applyFont="1" applyBorder="1" applyAlignment="1">
      <alignment vertical="center" wrapText="1"/>
    </xf>
    <xf numFmtId="2" fontId="96" fillId="33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80" fontId="96" fillId="0" borderId="10" xfId="0" applyNumberFormat="1" applyFont="1" applyBorder="1" applyAlignment="1">
      <alignment horizontal="center" vertical="center" wrapText="1"/>
    </xf>
    <xf numFmtId="180" fontId="96" fillId="0" borderId="39" xfId="0" applyNumberFormat="1" applyFont="1" applyBorder="1" applyAlignment="1">
      <alignment horizontal="center" vertical="center" wrapText="1"/>
    </xf>
    <xf numFmtId="181" fontId="22" fillId="0" borderId="11" xfId="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96" fillId="0" borderId="46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81" fontId="9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96" fillId="0" borderId="10" xfId="0" applyFont="1" applyBorder="1" applyAlignment="1">
      <alignment horizontal="center" vertical="center" wrapText="1"/>
    </xf>
    <xf numFmtId="181" fontId="96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96" fillId="33" borderId="39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99" fillId="0" borderId="14" xfId="0" applyFont="1" applyBorder="1" applyAlignment="1">
      <alignment vertical="center" wrapText="1"/>
    </xf>
    <xf numFmtId="182" fontId="98" fillId="0" borderId="11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left" vertical="center" wrapText="1"/>
    </xf>
    <xf numFmtId="181" fontId="8" fillId="0" borderId="10" xfId="0" applyNumberFormat="1" applyFont="1" applyBorder="1" applyAlignment="1">
      <alignment horizontal="center" vertical="center"/>
    </xf>
    <xf numFmtId="9" fontId="19" fillId="0" borderId="17" xfId="0" applyNumberFormat="1" applyFont="1" applyBorder="1" applyAlignment="1">
      <alignment horizontal="center" vertical="center"/>
    </xf>
    <xf numFmtId="10" fontId="19" fillId="0" borderId="17" xfId="0" applyNumberFormat="1" applyFont="1" applyBorder="1" applyAlignment="1">
      <alignment vertical="center"/>
    </xf>
    <xf numFmtId="180" fontId="98" fillId="0" borderId="10" xfId="0" applyNumberFormat="1" applyFont="1" applyBorder="1" applyAlignment="1">
      <alignment horizontal="center" vertical="center" wrapText="1"/>
    </xf>
    <xf numFmtId="171" fontId="96" fillId="0" borderId="40" xfId="60" applyFont="1" applyBorder="1" applyAlignment="1">
      <alignment vertical="center" wrapText="1"/>
    </xf>
    <xf numFmtId="171" fontId="96" fillId="0" borderId="41" xfId="60" applyFont="1" applyBorder="1" applyAlignment="1">
      <alignment vertical="center" wrapText="1"/>
    </xf>
    <xf numFmtId="171" fontId="96" fillId="0" borderId="42" xfId="60" applyFont="1" applyBorder="1" applyAlignment="1">
      <alignment vertical="center" wrapText="1"/>
    </xf>
    <xf numFmtId="0" fontId="97" fillId="0" borderId="10" xfId="0" applyFont="1" applyBorder="1" applyAlignment="1">
      <alignment horizontal="center" wrapText="1"/>
    </xf>
    <xf numFmtId="0" fontId="97" fillId="0" borderId="14" xfId="0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1" fillId="33" borderId="39" xfId="0" applyFont="1" applyFill="1" applyBorder="1" applyAlignment="1">
      <alignment horizontal="center"/>
    </xf>
    <xf numFmtId="49" fontId="100" fillId="0" borderId="10" xfId="0" applyNumberFormat="1" applyFont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101" fillId="34" borderId="0" xfId="0" applyFont="1" applyFill="1" applyAlignment="1">
      <alignment horizontal="center" vertical="center"/>
    </xf>
    <xf numFmtId="0" fontId="96" fillId="33" borderId="11" xfId="0" applyFont="1" applyFill="1" applyBorder="1" applyAlignment="1">
      <alignment horizontal="left" vertical="center" wrapText="1"/>
    </xf>
    <xf numFmtId="0" fontId="92" fillId="0" borderId="12" xfId="0" applyFont="1" applyBorder="1" applyAlignment="1">
      <alignment vertical="top" wrapText="1"/>
    </xf>
    <xf numFmtId="0" fontId="92" fillId="0" borderId="43" xfId="0" applyFont="1" applyBorder="1" applyAlignment="1">
      <alignment vertical="top" wrapText="1"/>
    </xf>
    <xf numFmtId="0" fontId="96" fillId="0" borderId="43" xfId="0" applyFont="1" applyBorder="1" applyAlignment="1">
      <alignment vertical="center" wrapText="1"/>
    </xf>
    <xf numFmtId="0" fontId="96" fillId="33" borderId="43" xfId="0" applyFont="1" applyFill="1" applyBorder="1" applyAlignment="1">
      <alignment horizontal="left" vertical="center" wrapText="1"/>
    </xf>
    <xf numFmtId="0" fontId="96" fillId="0" borderId="43" xfId="0" applyFont="1" applyBorder="1" applyAlignment="1">
      <alignment horizontal="center" vertical="center" wrapText="1"/>
    </xf>
    <xf numFmtId="2" fontId="96" fillId="0" borderId="43" xfId="0" applyNumberFormat="1" applyFont="1" applyBorder="1" applyAlignment="1">
      <alignment horizontal="center" vertical="center" wrapText="1"/>
    </xf>
    <xf numFmtId="171" fontId="96" fillId="0" borderId="43" xfId="60" applyFont="1" applyBorder="1" applyAlignment="1">
      <alignment horizontal="center" vertical="center" wrapText="1"/>
    </xf>
    <xf numFmtId="0" fontId="96" fillId="33" borderId="39" xfId="0" applyFont="1" applyFill="1" applyBorder="1" applyAlignment="1">
      <alignment horizontal="left" vertical="center" wrapText="1"/>
    </xf>
    <xf numFmtId="0" fontId="98" fillId="33" borderId="10" xfId="0" applyFont="1" applyFill="1" applyBorder="1" applyAlignment="1">
      <alignment horizontal="left" vertical="center" wrapText="1"/>
    </xf>
    <xf numFmtId="1" fontId="98" fillId="0" borderId="11" xfId="0" applyNumberFormat="1" applyFont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center"/>
    </xf>
    <xf numFmtId="0" fontId="96" fillId="10" borderId="11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wrapText="1"/>
    </xf>
    <xf numFmtId="0" fontId="97" fillId="0" borderId="12" xfId="0" applyFont="1" applyBorder="1" applyAlignment="1">
      <alignment wrapText="1"/>
    </xf>
    <xf numFmtId="0" fontId="97" fillId="0" borderId="43" xfId="0" applyFont="1" applyBorder="1" applyAlignment="1">
      <alignment wrapText="1"/>
    </xf>
    <xf numFmtId="0" fontId="98" fillId="33" borderId="21" xfId="0" applyFont="1" applyFill="1" applyBorder="1" applyAlignment="1">
      <alignment horizontal="left" vertical="center" wrapText="1"/>
    </xf>
    <xf numFmtId="2" fontId="98" fillId="0" borderId="21" xfId="0" applyNumberFormat="1" applyFont="1" applyBorder="1" applyAlignment="1">
      <alignment horizontal="center" vertical="center" wrapText="1"/>
    </xf>
    <xf numFmtId="0" fontId="0" fillId="10" borderId="11" xfId="0" applyFill="1" applyBorder="1" applyAlignment="1">
      <alignment/>
    </xf>
    <xf numFmtId="0" fontId="0" fillId="0" borderId="11" xfId="0" applyBorder="1" applyAlignment="1">
      <alignment/>
    </xf>
    <xf numFmtId="0" fontId="18" fillId="33" borderId="43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0" fontId="97" fillId="0" borderId="10" xfId="0" applyFont="1" applyBorder="1" applyAlignment="1">
      <alignment vertical="center" wrapText="1"/>
    </xf>
    <xf numFmtId="2" fontId="101" fillId="0" borderId="11" xfId="0" applyNumberFormat="1" applyFont="1" applyBorder="1" applyAlignment="1">
      <alignment horizontal="center" vertical="center"/>
    </xf>
    <xf numFmtId="182" fontId="96" fillId="0" borderId="11" xfId="0" applyNumberFormat="1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/>
    </xf>
    <xf numFmtId="1" fontId="96" fillId="0" borderId="3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81" fontId="8" fillId="0" borderId="11" xfId="0" applyNumberFormat="1" applyFont="1" applyBorder="1" applyAlignment="1">
      <alignment horizontal="center" vertical="center"/>
    </xf>
    <xf numFmtId="192" fontId="19" fillId="0" borderId="17" xfId="0" applyNumberFormat="1" applyFont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96" fillId="33" borderId="43" xfId="0" applyFont="1" applyFill="1" applyBorder="1" applyAlignment="1">
      <alignment horizontal="center" vertical="center" wrapText="1"/>
    </xf>
    <xf numFmtId="171" fontId="96" fillId="33" borderId="43" xfId="60" applyFont="1" applyFill="1" applyBorder="1" applyAlignment="1">
      <alignment horizontal="center" vertical="center" wrapText="1"/>
    </xf>
    <xf numFmtId="171" fontId="96" fillId="33" borderId="39" xfId="60" applyFont="1" applyFill="1" applyBorder="1" applyAlignment="1">
      <alignment horizontal="center" vertical="center" wrapText="1"/>
    </xf>
    <xf numFmtId="2" fontId="96" fillId="33" borderId="43" xfId="0" applyNumberFormat="1" applyFont="1" applyFill="1" applyBorder="1" applyAlignment="1">
      <alignment horizontal="center" vertical="center" wrapText="1"/>
    </xf>
    <xf numFmtId="0" fontId="96" fillId="33" borderId="11" xfId="0" applyFont="1" applyFill="1" applyBorder="1" applyAlignment="1">
      <alignment vertical="center" wrapText="1"/>
    </xf>
    <xf numFmtId="181" fontId="96" fillId="33" borderId="11" xfId="0" applyNumberFormat="1" applyFont="1" applyFill="1" applyBorder="1" applyAlignment="1">
      <alignment horizontal="center" vertical="center" wrapText="1"/>
    </xf>
    <xf numFmtId="0" fontId="97" fillId="0" borderId="14" xfId="0" applyFont="1" applyBorder="1" applyAlignment="1">
      <alignment wrapText="1"/>
    </xf>
    <xf numFmtId="192" fontId="1" fillId="0" borderId="11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/>
    </xf>
    <xf numFmtId="2" fontId="10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 wrapText="1"/>
    </xf>
    <xf numFmtId="182" fontId="96" fillId="33" borderId="43" xfId="0" applyNumberFormat="1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11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81" fontId="28" fillId="0" borderId="11" xfId="0" applyNumberFormat="1" applyFont="1" applyBorder="1" applyAlignment="1">
      <alignment horizontal="center" vertical="center"/>
    </xf>
    <xf numFmtId="181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37" fillId="0" borderId="11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6" fillId="0" borderId="1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39" fillId="33" borderId="11" xfId="0" applyNumberFormat="1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1" fontId="1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2" fontId="16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20" fillId="33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99" fillId="0" borderId="44" xfId="0" applyNumberFormat="1" applyFont="1" applyBorder="1" applyAlignment="1">
      <alignment horizontal="center" vertical="center" wrapText="1"/>
    </xf>
    <xf numFmtId="49" fontId="99" fillId="0" borderId="12" xfId="0" applyNumberFormat="1" applyFont="1" applyBorder="1" applyAlignment="1">
      <alignment horizontal="center" vertical="center" wrapText="1"/>
    </xf>
    <xf numFmtId="0" fontId="96" fillId="0" borderId="44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53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right" vertical="center" wrapText="1"/>
    </xf>
    <xf numFmtId="0" fontId="19" fillId="0" borderId="41" xfId="0" applyFont="1" applyBorder="1" applyAlignment="1">
      <alignment horizontal="right" vertical="center" wrapText="1"/>
    </xf>
    <xf numFmtId="0" fontId="19" fillId="0" borderId="42" xfId="0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9" fontId="100" fillId="0" borderId="44" xfId="0" applyNumberFormat="1" applyFont="1" applyBorder="1" applyAlignment="1">
      <alignment horizontal="center" vertical="center" wrapText="1"/>
    </xf>
    <xf numFmtId="49" fontId="100" fillId="0" borderId="12" xfId="0" applyNumberFormat="1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47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81" fontId="16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horizontal="left" vertical="center"/>
    </xf>
    <xf numFmtId="2" fontId="67" fillId="33" borderId="0" xfId="0" applyNumberFormat="1" applyFont="1" applyFill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102" fillId="0" borderId="11" xfId="0" applyFont="1" applyBorder="1" applyAlignment="1">
      <alignment horizontal="center" vertical="top" wrapText="1"/>
    </xf>
    <xf numFmtId="0" fontId="103" fillId="33" borderId="11" xfId="0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171" fontId="104" fillId="0" borderId="11" xfId="60" applyFont="1" applyBorder="1" applyAlignment="1">
      <alignment horizontal="center" vertical="center" wrapText="1"/>
    </xf>
    <xf numFmtId="2" fontId="104" fillId="0" borderId="11" xfId="0" applyNumberFormat="1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180" fontId="103" fillId="0" borderId="11" xfId="0" applyNumberFormat="1" applyFont="1" applyBorder="1" applyAlignment="1">
      <alignment horizontal="center" vertical="center" wrapText="1"/>
    </xf>
    <xf numFmtId="0" fontId="104" fillId="33" borderId="11" xfId="0" applyFont="1" applyFill="1" applyBorder="1" applyAlignment="1">
      <alignment horizontal="left" vertical="center" wrapText="1"/>
    </xf>
    <xf numFmtId="0" fontId="104" fillId="0" borderId="11" xfId="0" applyFont="1" applyBorder="1" applyAlignment="1">
      <alignment horizontal="center" vertical="center" wrapText="1"/>
    </xf>
    <xf numFmtId="180" fontId="104" fillId="0" borderId="11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vertical="center" wrapText="1"/>
    </xf>
    <xf numFmtId="0" fontId="103" fillId="33" borderId="11" xfId="0" applyFont="1" applyFill="1" applyBorder="1" applyAlignment="1">
      <alignment horizontal="left" vertical="center" wrapText="1"/>
    </xf>
    <xf numFmtId="1" fontId="103" fillId="0" borderId="11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horizontal="center" wrapText="1"/>
    </xf>
    <xf numFmtId="181" fontId="104" fillId="0" borderId="11" xfId="0" applyNumberFormat="1" applyFont="1" applyBorder="1" applyAlignment="1">
      <alignment horizontal="center" vertical="center" wrapText="1"/>
    </xf>
    <xf numFmtId="0" fontId="105" fillId="0" borderId="11" xfId="0" applyFont="1" applyBorder="1" applyAlignment="1">
      <alignment wrapText="1"/>
    </xf>
    <xf numFmtId="2" fontId="64" fillId="0" borderId="11" xfId="0" applyNumberFormat="1" applyFont="1" applyBorder="1" applyAlignment="1">
      <alignment horizontal="center" vertical="center"/>
    </xf>
    <xf numFmtId="2" fontId="103" fillId="0" borderId="11" xfId="0" applyNumberFormat="1" applyFont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left" vertical="center" wrapText="1"/>
    </xf>
    <xf numFmtId="0" fontId="104" fillId="0" borderId="11" xfId="0" applyFont="1" applyFill="1" applyBorder="1" applyAlignment="1">
      <alignment horizontal="center" vertical="center" wrapText="1"/>
    </xf>
    <xf numFmtId="2" fontId="104" fillId="0" borderId="11" xfId="0" applyNumberFormat="1" applyFont="1" applyFill="1" applyBorder="1" applyAlignment="1">
      <alignment horizontal="center" vertical="center" wrapText="1"/>
    </xf>
    <xf numFmtId="0" fontId="105" fillId="0" borderId="11" xfId="0" applyFont="1" applyBorder="1" applyAlignment="1">
      <alignment vertical="center" wrapText="1"/>
    </xf>
    <xf numFmtId="1" fontId="104" fillId="0" borderId="11" xfId="0" applyNumberFormat="1" applyFont="1" applyBorder="1" applyAlignment="1">
      <alignment horizontal="center" vertical="center" wrapText="1"/>
    </xf>
    <xf numFmtId="181" fontId="103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right" vertical="center" wrapText="1"/>
    </xf>
    <xf numFmtId="181" fontId="69" fillId="0" borderId="11" xfId="0" applyNumberFormat="1" applyFont="1" applyBorder="1" applyAlignment="1">
      <alignment horizontal="center" vertical="center"/>
    </xf>
    <xf numFmtId="2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192" fontId="69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right" vertical="center"/>
    </xf>
    <xf numFmtId="9" fontId="69" fillId="0" borderId="11" xfId="0" applyNumberFormat="1" applyFont="1" applyBorder="1" applyAlignment="1">
      <alignment horizontal="center" vertical="center"/>
    </xf>
    <xf numFmtId="192" fontId="64" fillId="0" borderId="11" xfId="0" applyNumberFormat="1" applyFont="1" applyBorder="1" applyAlignment="1">
      <alignment/>
    </xf>
    <xf numFmtId="10" fontId="69" fillId="0" borderId="11" xfId="0" applyNumberFormat="1" applyFont="1" applyBorder="1" applyAlignment="1">
      <alignment vertical="center"/>
    </xf>
    <xf numFmtId="0" fontId="66" fillId="0" borderId="14" xfId="0" applyFont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textRotation="90" wrapText="1"/>
    </xf>
    <xf numFmtId="0" fontId="69" fillId="0" borderId="19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textRotation="90" wrapText="1"/>
    </xf>
    <xf numFmtId="0" fontId="69" fillId="0" borderId="14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textRotation="90" wrapText="1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/>
    </xf>
    <xf numFmtId="0" fontId="69" fillId="33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30"/>
  <sheetViews>
    <sheetView zoomScalePageLayoutView="0" workbookViewId="0" topLeftCell="A28">
      <selection activeCell="I31" sqref="I31"/>
    </sheetView>
  </sheetViews>
  <sheetFormatPr defaultColWidth="9.00390625" defaultRowHeight="12.75"/>
  <cols>
    <col min="1" max="1" width="3.25390625" style="1" customWidth="1"/>
    <col min="2" max="2" width="12.375" style="1" customWidth="1"/>
    <col min="3" max="3" width="32.125" style="1" customWidth="1"/>
    <col min="4" max="4" width="8.375" style="1" customWidth="1"/>
    <col min="5" max="5" width="9.00390625" style="1" customWidth="1"/>
    <col min="6" max="6" width="10.125" style="1" customWidth="1"/>
    <col min="7" max="7" width="7.625" style="1" customWidth="1"/>
    <col min="8" max="8" width="11.00390625" style="1" customWidth="1"/>
    <col min="9" max="9" width="8.375" style="1" customWidth="1"/>
    <col min="10" max="10" width="10.75390625" style="1" customWidth="1"/>
    <col min="11" max="11" width="8.625" style="1" customWidth="1"/>
    <col min="12" max="12" width="9.375" style="1" customWidth="1"/>
    <col min="13" max="13" width="11.875" style="1" customWidth="1"/>
    <col min="14" max="14" width="9.625" style="1" customWidth="1"/>
    <col min="15" max="15" width="12.75390625" style="27" customWidth="1"/>
    <col min="16" max="16" width="8.125" style="1" customWidth="1"/>
    <col min="17" max="17" width="8.75390625" style="1" customWidth="1"/>
    <col min="18" max="20" width="9.125" style="1" customWidth="1"/>
    <col min="21" max="21" width="9.75390625" style="1" customWidth="1"/>
    <col min="22" max="22" width="9.375" style="1" customWidth="1"/>
    <col min="23" max="23" width="9.625" style="1" customWidth="1"/>
    <col min="24" max="24" width="10.875" style="1" customWidth="1"/>
    <col min="25" max="25" width="10.00390625" style="1" customWidth="1"/>
    <col min="26" max="26" width="9.75390625" style="1" customWidth="1"/>
    <col min="27" max="27" width="12.25390625" style="1" customWidth="1"/>
    <col min="28" max="16384" width="9.125" style="1" customWidth="1"/>
  </cols>
  <sheetData>
    <row r="1" spans="1:125" ht="40.5" customHeight="1">
      <c r="A1" s="127"/>
      <c r="B1" s="127" t="s">
        <v>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40"/>
      <c r="O1" s="40"/>
      <c r="P1" s="40"/>
      <c r="Q1" s="4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</row>
    <row r="2" spans="1:125" ht="24" customHeight="1">
      <c r="A2" s="324" t="s">
        <v>48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ht="21.75" customHeight="1">
      <c r="A3" s="3"/>
      <c r="B3" s="327" t="s">
        <v>17</v>
      </c>
      <c r="C3" s="327"/>
      <c r="D3" s="328">
        <f>M47</f>
        <v>8025.375790692691</v>
      </c>
      <c r="E3" s="328"/>
      <c r="F3" s="33" t="s">
        <v>25</v>
      </c>
      <c r="G3" s="329" t="s">
        <v>19</v>
      </c>
      <c r="H3" s="329"/>
      <c r="I3" s="329"/>
      <c r="J3" s="4"/>
      <c r="K3" s="4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ht="20.25" customHeight="1">
      <c r="A4" s="3"/>
      <c r="B4" s="327"/>
      <c r="C4" s="327"/>
      <c r="D4" s="326"/>
      <c r="E4" s="326"/>
      <c r="F4" s="33"/>
      <c r="G4" s="33"/>
      <c r="H4" s="34"/>
      <c r="I4" s="7"/>
      <c r="J4" s="4"/>
      <c r="K4" s="4"/>
      <c r="L4" s="4"/>
      <c r="M4" s="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</row>
    <row r="5" spans="1:125" ht="22.5" customHeight="1" thickBot="1">
      <c r="A5" s="303" t="s">
        <v>60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</row>
    <row r="6" spans="1:125" ht="24" customHeight="1">
      <c r="A6" s="315" t="s">
        <v>0</v>
      </c>
      <c r="B6" s="308" t="s">
        <v>9</v>
      </c>
      <c r="C6" s="314" t="s">
        <v>1</v>
      </c>
      <c r="D6" s="308" t="s">
        <v>11</v>
      </c>
      <c r="E6" s="318" t="s">
        <v>2</v>
      </c>
      <c r="F6" s="318"/>
      <c r="G6" s="319" t="s">
        <v>30</v>
      </c>
      <c r="H6" s="320"/>
      <c r="I6" s="320"/>
      <c r="J6" s="320"/>
      <c r="K6" s="320"/>
      <c r="L6" s="320"/>
      <c r="M6" s="3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</row>
    <row r="7" spans="1:125" ht="17.25" customHeight="1">
      <c r="A7" s="316"/>
      <c r="B7" s="306"/>
      <c r="C7" s="304"/>
      <c r="D7" s="306"/>
      <c r="E7" s="306" t="s">
        <v>12</v>
      </c>
      <c r="F7" s="306" t="s">
        <v>10</v>
      </c>
      <c r="G7" s="304" t="s">
        <v>13</v>
      </c>
      <c r="H7" s="304"/>
      <c r="I7" s="304" t="s">
        <v>14</v>
      </c>
      <c r="J7" s="304"/>
      <c r="K7" s="304" t="s">
        <v>15</v>
      </c>
      <c r="L7" s="304"/>
      <c r="M7" s="322" t="s">
        <v>8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</row>
    <row r="8" spans="1:125" ht="12" customHeight="1">
      <c r="A8" s="316"/>
      <c r="B8" s="306"/>
      <c r="C8" s="304"/>
      <c r="D8" s="306"/>
      <c r="E8" s="306"/>
      <c r="F8" s="306"/>
      <c r="G8" s="304"/>
      <c r="H8" s="304"/>
      <c r="I8" s="304"/>
      <c r="J8" s="304"/>
      <c r="K8" s="304"/>
      <c r="L8" s="304"/>
      <c r="M8" s="32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</row>
    <row r="9" spans="1:125" ht="20.25" customHeight="1">
      <c r="A9" s="316"/>
      <c r="B9" s="306"/>
      <c r="C9" s="304"/>
      <c r="D9" s="306"/>
      <c r="E9" s="306"/>
      <c r="F9" s="306"/>
      <c r="G9" s="304" t="s">
        <v>18</v>
      </c>
      <c r="H9" s="304" t="s">
        <v>3</v>
      </c>
      <c r="I9" s="304" t="s">
        <v>18</v>
      </c>
      <c r="J9" s="304" t="s">
        <v>3</v>
      </c>
      <c r="K9" s="304" t="s">
        <v>18</v>
      </c>
      <c r="L9" s="304" t="s">
        <v>3</v>
      </c>
      <c r="M9" s="3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</row>
    <row r="10" spans="1:125" ht="42.75" customHeight="1" thickBot="1">
      <c r="A10" s="317"/>
      <c r="B10" s="307"/>
      <c r="C10" s="305"/>
      <c r="D10" s="307"/>
      <c r="E10" s="307"/>
      <c r="F10" s="307"/>
      <c r="G10" s="305"/>
      <c r="H10" s="305"/>
      <c r="I10" s="305"/>
      <c r="J10" s="305"/>
      <c r="K10" s="305"/>
      <c r="L10" s="305"/>
      <c r="M10" s="3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</row>
    <row r="11" spans="1:125" ht="20.25" customHeight="1" thickBot="1">
      <c r="A11" s="101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>
        <v>8</v>
      </c>
      <c r="I11" s="101">
        <v>9</v>
      </c>
      <c r="J11" s="101">
        <v>10</v>
      </c>
      <c r="K11" s="101">
        <v>11</v>
      </c>
      <c r="L11" s="101">
        <v>12</v>
      </c>
      <c r="M11" s="101">
        <v>13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</row>
    <row r="12" spans="1:125" ht="81" customHeight="1">
      <c r="A12" s="99"/>
      <c r="B12" s="123" t="s">
        <v>67</v>
      </c>
      <c r="C12" s="60" t="s">
        <v>54</v>
      </c>
      <c r="D12" s="63" t="s">
        <v>16</v>
      </c>
      <c r="E12" s="63" t="s">
        <v>4</v>
      </c>
      <c r="F12" s="63">
        <v>8</v>
      </c>
      <c r="G12" s="63"/>
      <c r="H12" s="76"/>
      <c r="I12" s="77"/>
      <c r="J12" s="76"/>
      <c r="K12" s="62"/>
      <c r="L12" s="76"/>
      <c r="M12" s="7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</row>
    <row r="13" spans="1:125" ht="27" customHeight="1">
      <c r="A13" s="74">
        <v>1</v>
      </c>
      <c r="B13" s="9"/>
      <c r="C13" s="18" t="s">
        <v>29</v>
      </c>
      <c r="D13" s="15" t="s">
        <v>28</v>
      </c>
      <c r="E13" s="9">
        <v>0.28</v>
      </c>
      <c r="F13" s="8">
        <f>E13*F12</f>
        <v>2.24</v>
      </c>
      <c r="G13" s="8">
        <v>4.6</v>
      </c>
      <c r="H13" s="23">
        <f>G13*F13</f>
        <v>10.304</v>
      </c>
      <c r="I13" s="23" t="s">
        <v>4</v>
      </c>
      <c r="J13" s="42" t="s">
        <v>4</v>
      </c>
      <c r="K13" s="43" t="s">
        <v>4</v>
      </c>
      <c r="L13" s="25" t="s">
        <v>4</v>
      </c>
      <c r="M13" s="79">
        <f>H13</f>
        <v>10.304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</row>
    <row r="14" spans="1:125" ht="25.5" customHeight="1" thickBot="1">
      <c r="A14" s="104"/>
      <c r="B14" s="72" t="s">
        <v>61</v>
      </c>
      <c r="C14" s="80" t="s">
        <v>66</v>
      </c>
      <c r="D14" s="21" t="s">
        <v>27</v>
      </c>
      <c r="E14" s="21">
        <v>0.314</v>
      </c>
      <c r="F14" s="81">
        <f>E14*F12</f>
        <v>2.512</v>
      </c>
      <c r="G14" s="21" t="s">
        <v>4</v>
      </c>
      <c r="H14" s="82" t="s">
        <v>4</v>
      </c>
      <c r="I14" s="83" t="s">
        <v>4</v>
      </c>
      <c r="J14" s="83" t="s">
        <v>4</v>
      </c>
      <c r="K14" s="84">
        <v>26.95</v>
      </c>
      <c r="L14" s="82">
        <f>K14*F14</f>
        <v>67.69839999999999</v>
      </c>
      <c r="M14" s="85">
        <f>L14</f>
        <v>67.69839999999999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ht="25.5" customHeight="1">
      <c r="A15" s="99"/>
      <c r="B15" s="105" t="s">
        <v>68</v>
      </c>
      <c r="C15" s="60" t="s">
        <v>36</v>
      </c>
      <c r="D15" s="63" t="s">
        <v>23</v>
      </c>
      <c r="E15" s="63" t="s">
        <v>4</v>
      </c>
      <c r="F15" s="88">
        <v>1.6</v>
      </c>
      <c r="G15" s="61"/>
      <c r="H15" s="76"/>
      <c r="I15" s="89"/>
      <c r="J15" s="90"/>
      <c r="K15" s="90"/>
      <c r="L15" s="90"/>
      <c r="M15" s="7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ht="26.25" customHeight="1">
      <c r="A16" s="74"/>
      <c r="B16" s="124" t="s">
        <v>77</v>
      </c>
      <c r="C16" s="20" t="s">
        <v>29</v>
      </c>
      <c r="D16" s="19" t="s">
        <v>28</v>
      </c>
      <c r="E16" s="19">
        <v>4.12</v>
      </c>
      <c r="F16" s="44">
        <f>E16*F15</f>
        <v>6.5920000000000005</v>
      </c>
      <c r="G16" s="19">
        <v>4.6</v>
      </c>
      <c r="H16" s="29">
        <f>G16*F16</f>
        <v>30.3232</v>
      </c>
      <c r="I16" s="86" t="s">
        <v>4</v>
      </c>
      <c r="J16" s="86" t="s">
        <v>4</v>
      </c>
      <c r="K16" s="86" t="s">
        <v>4</v>
      </c>
      <c r="L16" s="86" t="s">
        <v>4</v>
      </c>
      <c r="M16" s="91">
        <f>H16</f>
        <v>30.3232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ht="27.75" customHeight="1">
      <c r="A17" s="74">
        <v>2</v>
      </c>
      <c r="B17" s="124" t="s">
        <v>77</v>
      </c>
      <c r="C17" s="20" t="s">
        <v>35</v>
      </c>
      <c r="D17" s="19" t="s">
        <v>27</v>
      </c>
      <c r="E17" s="39">
        <v>0.49</v>
      </c>
      <c r="F17" s="50">
        <f>F15*E17</f>
        <v>0.784</v>
      </c>
      <c r="G17" s="19" t="s">
        <v>4</v>
      </c>
      <c r="H17" s="29" t="s">
        <v>4</v>
      </c>
      <c r="I17" s="29" t="s">
        <v>4</v>
      </c>
      <c r="J17" s="28" t="s">
        <v>4</v>
      </c>
      <c r="K17" s="22">
        <v>3.2</v>
      </c>
      <c r="L17" s="29">
        <f>F17*K17</f>
        <v>2.5088000000000004</v>
      </c>
      <c r="M17" s="69">
        <f>L17</f>
        <v>2.5088000000000004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ht="39" customHeight="1" thickBot="1">
      <c r="A18" s="104"/>
      <c r="B18" s="72" t="s">
        <v>64</v>
      </c>
      <c r="C18" s="80" t="s">
        <v>76</v>
      </c>
      <c r="D18" s="21" t="s">
        <v>44</v>
      </c>
      <c r="E18" s="72"/>
      <c r="F18" s="81">
        <f>F15</f>
        <v>1.6</v>
      </c>
      <c r="G18" s="21" t="s">
        <v>4</v>
      </c>
      <c r="H18" s="82" t="s">
        <v>4</v>
      </c>
      <c r="I18" s="92">
        <v>92</v>
      </c>
      <c r="J18" s="83">
        <f>F18*I18</f>
        <v>147.20000000000002</v>
      </c>
      <c r="K18" s="21">
        <v>5.3</v>
      </c>
      <c r="L18" s="82">
        <f>K18*F18</f>
        <v>8.48</v>
      </c>
      <c r="M18" s="85">
        <f>L18+J18</f>
        <v>155.68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ht="54.75" customHeight="1">
      <c r="A19" s="99"/>
      <c r="B19" s="122" t="s">
        <v>26</v>
      </c>
      <c r="C19" s="60" t="s">
        <v>56</v>
      </c>
      <c r="D19" s="63" t="s">
        <v>16</v>
      </c>
      <c r="E19" s="63" t="s">
        <v>4</v>
      </c>
      <c r="F19" s="63">
        <v>8</v>
      </c>
      <c r="G19" s="63"/>
      <c r="H19" s="76"/>
      <c r="I19" s="89"/>
      <c r="J19" s="90"/>
      <c r="K19" s="62"/>
      <c r="L19" s="76"/>
      <c r="M19" s="7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ht="30" customHeight="1">
      <c r="A20" s="119"/>
      <c r="B20" s="16" t="s">
        <v>61</v>
      </c>
      <c r="C20" s="12" t="s">
        <v>66</v>
      </c>
      <c r="D20" s="13" t="s">
        <v>27</v>
      </c>
      <c r="E20" s="13">
        <v>0.8</v>
      </c>
      <c r="F20" s="17">
        <f>E20*F19</f>
        <v>6.4</v>
      </c>
      <c r="G20" s="13" t="s">
        <v>4</v>
      </c>
      <c r="H20" s="26" t="s">
        <v>4</v>
      </c>
      <c r="I20" s="120" t="s">
        <v>4</v>
      </c>
      <c r="J20" s="120" t="s">
        <v>4</v>
      </c>
      <c r="K20" s="24">
        <v>26.95</v>
      </c>
      <c r="L20" s="26">
        <f>K20*F20</f>
        <v>172.48000000000002</v>
      </c>
      <c r="M20" s="121">
        <f>L20</f>
        <v>172.48000000000002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ht="27" customHeight="1">
      <c r="A21" s="74"/>
      <c r="B21" s="32"/>
      <c r="C21" s="12" t="s">
        <v>29</v>
      </c>
      <c r="D21" s="13" t="s">
        <v>28</v>
      </c>
      <c r="E21" s="13">
        <v>0.8</v>
      </c>
      <c r="F21" s="17">
        <f>F19*E21</f>
        <v>6.4</v>
      </c>
      <c r="G21" s="17">
        <v>4.6</v>
      </c>
      <c r="H21" s="26">
        <f>G21*F21</f>
        <v>29.439999999999998</v>
      </c>
      <c r="I21" s="52" t="s">
        <v>4</v>
      </c>
      <c r="J21" s="52" t="s">
        <v>4</v>
      </c>
      <c r="K21" s="5" t="s">
        <v>4</v>
      </c>
      <c r="L21" s="52" t="s">
        <v>4</v>
      </c>
      <c r="M21" s="125">
        <f>H21</f>
        <v>29.439999999999998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ht="25.5" customHeight="1">
      <c r="A22" s="74">
        <v>3</v>
      </c>
      <c r="B22" s="32"/>
      <c r="C22" s="20" t="s">
        <v>34</v>
      </c>
      <c r="D22" s="19" t="s">
        <v>27</v>
      </c>
      <c r="E22" s="19">
        <v>0.49</v>
      </c>
      <c r="F22" s="50">
        <f>F19*E22</f>
        <v>3.92</v>
      </c>
      <c r="G22" s="17">
        <v>4.6</v>
      </c>
      <c r="H22" s="26">
        <f>G22*F22</f>
        <v>18.032</v>
      </c>
      <c r="I22" s="29" t="s">
        <v>4</v>
      </c>
      <c r="J22" s="29" t="s">
        <v>4</v>
      </c>
      <c r="K22" s="22"/>
      <c r="L22" s="29"/>
      <c r="M22" s="69">
        <f>H22</f>
        <v>18.032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ht="26.25" customHeight="1">
      <c r="A23" s="74"/>
      <c r="B23" s="9" t="s">
        <v>51</v>
      </c>
      <c r="C23" s="20" t="s">
        <v>45</v>
      </c>
      <c r="D23" s="19" t="s">
        <v>31</v>
      </c>
      <c r="E23" s="39">
        <v>10</v>
      </c>
      <c r="F23" s="50">
        <f>F19*E23</f>
        <v>80</v>
      </c>
      <c r="G23" s="50" t="s">
        <v>4</v>
      </c>
      <c r="H23" s="87" t="s">
        <v>4</v>
      </c>
      <c r="I23" s="29">
        <v>22.5</v>
      </c>
      <c r="J23" s="29">
        <f>F23*I23</f>
        <v>1800</v>
      </c>
      <c r="K23" s="22"/>
      <c r="L23" s="29"/>
      <c r="M23" s="69">
        <f>J23</f>
        <v>1800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ht="23.25" customHeight="1" thickBot="1">
      <c r="A24" s="104"/>
      <c r="B24" s="72" t="s">
        <v>65</v>
      </c>
      <c r="C24" s="80" t="s">
        <v>50</v>
      </c>
      <c r="D24" s="21" t="s">
        <v>31</v>
      </c>
      <c r="E24" s="21">
        <v>2</v>
      </c>
      <c r="F24" s="81">
        <f>F19*E24</f>
        <v>16</v>
      </c>
      <c r="G24" s="81" t="s">
        <v>4</v>
      </c>
      <c r="H24" s="126" t="s">
        <v>4</v>
      </c>
      <c r="I24" s="82">
        <v>10</v>
      </c>
      <c r="J24" s="82">
        <f>F24*I24</f>
        <v>160</v>
      </c>
      <c r="K24" s="84"/>
      <c r="L24" s="82"/>
      <c r="M24" s="85">
        <f>J24</f>
        <v>160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ht="53.25" customHeight="1">
      <c r="A25" s="99"/>
      <c r="B25" s="106" t="s">
        <v>78</v>
      </c>
      <c r="C25" s="60" t="s">
        <v>37</v>
      </c>
      <c r="D25" s="63" t="s">
        <v>46</v>
      </c>
      <c r="E25" s="63" t="s">
        <v>4</v>
      </c>
      <c r="F25" s="63">
        <v>40</v>
      </c>
      <c r="G25" s="63"/>
      <c r="H25" s="93"/>
      <c r="I25" s="62"/>
      <c r="J25" s="90"/>
      <c r="K25" s="94"/>
      <c r="L25" s="90"/>
      <c r="M25" s="9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ht="32.25" customHeight="1">
      <c r="A26" s="74">
        <v>4</v>
      </c>
      <c r="B26" s="9"/>
      <c r="C26" s="20" t="s">
        <v>29</v>
      </c>
      <c r="D26" s="19" t="s">
        <v>28</v>
      </c>
      <c r="E26" s="19">
        <v>0.68</v>
      </c>
      <c r="F26" s="44">
        <f>F25*E26</f>
        <v>27.200000000000003</v>
      </c>
      <c r="G26" s="19">
        <v>4.6</v>
      </c>
      <c r="H26" s="44">
        <f>G26*F26</f>
        <v>125.12</v>
      </c>
      <c r="I26" s="22" t="s">
        <v>4</v>
      </c>
      <c r="J26" s="22" t="s">
        <v>4</v>
      </c>
      <c r="K26" s="22" t="s">
        <v>4</v>
      </c>
      <c r="L26" s="22" t="s">
        <v>4</v>
      </c>
      <c r="M26" s="68">
        <f>H26</f>
        <v>125.12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ht="24" customHeight="1" thickBot="1">
      <c r="A27" s="75"/>
      <c r="B27" s="72" t="s">
        <v>53</v>
      </c>
      <c r="C27" s="96" t="s">
        <v>38</v>
      </c>
      <c r="D27" s="46" t="s">
        <v>5</v>
      </c>
      <c r="E27" s="53">
        <v>0.2</v>
      </c>
      <c r="F27" s="53">
        <f>F25*E27</f>
        <v>8</v>
      </c>
      <c r="G27" s="97" t="s">
        <v>4</v>
      </c>
      <c r="H27" s="97" t="s">
        <v>4</v>
      </c>
      <c r="I27" s="46">
        <v>15</v>
      </c>
      <c r="J27" s="48">
        <f>I27*F27</f>
        <v>120</v>
      </c>
      <c r="K27" s="47" t="s">
        <v>4</v>
      </c>
      <c r="L27" s="47" t="s">
        <v>4</v>
      </c>
      <c r="M27" s="71">
        <f>J27</f>
        <v>120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ht="51.75" customHeight="1">
      <c r="A28" s="73"/>
      <c r="B28" s="59" t="s">
        <v>69</v>
      </c>
      <c r="C28" s="60" t="s">
        <v>57</v>
      </c>
      <c r="D28" s="61" t="s">
        <v>16</v>
      </c>
      <c r="E28" s="62" t="s">
        <v>4</v>
      </c>
      <c r="F28" s="63">
        <v>8</v>
      </c>
      <c r="G28" s="64"/>
      <c r="H28" s="65"/>
      <c r="I28" s="64"/>
      <c r="J28" s="66"/>
      <c r="K28" s="64"/>
      <c r="L28" s="64"/>
      <c r="M28" s="6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ht="34.5" customHeight="1">
      <c r="A29" s="74"/>
      <c r="B29" s="9"/>
      <c r="C29" s="20" t="s">
        <v>29</v>
      </c>
      <c r="D29" s="19" t="s">
        <v>28</v>
      </c>
      <c r="E29" s="19">
        <v>2.06</v>
      </c>
      <c r="F29" s="44">
        <f>F28*E29</f>
        <v>16.48</v>
      </c>
      <c r="G29" s="19">
        <v>4.6</v>
      </c>
      <c r="H29" s="44">
        <f>G29*F29</f>
        <v>75.80799999999999</v>
      </c>
      <c r="I29" s="22" t="s">
        <v>4</v>
      </c>
      <c r="J29" s="22" t="s">
        <v>4</v>
      </c>
      <c r="K29" s="22" t="s">
        <v>4</v>
      </c>
      <c r="L29" s="22" t="s">
        <v>4</v>
      </c>
      <c r="M29" s="68">
        <f>H29</f>
        <v>75.80799999999999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ht="34.5" customHeight="1">
      <c r="A30" s="74"/>
      <c r="B30" s="100" t="s">
        <v>75</v>
      </c>
      <c r="C30" s="20" t="s">
        <v>74</v>
      </c>
      <c r="D30" s="19" t="s">
        <v>27</v>
      </c>
      <c r="E30" s="19">
        <v>2.06</v>
      </c>
      <c r="F30" s="44">
        <f>F28*E30</f>
        <v>16.48</v>
      </c>
      <c r="G30" s="19"/>
      <c r="H30" s="44"/>
      <c r="I30" s="22"/>
      <c r="J30" s="22"/>
      <c r="K30" s="22">
        <v>15.21</v>
      </c>
      <c r="L30" s="22">
        <f>F30*K30</f>
        <v>250.66080000000002</v>
      </c>
      <c r="M30" s="68">
        <f>L30</f>
        <v>250.66080000000002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ht="34.5" customHeight="1">
      <c r="A31" s="74">
        <v>5</v>
      </c>
      <c r="B31" s="100" t="s">
        <v>26</v>
      </c>
      <c r="C31" s="54" t="s">
        <v>52</v>
      </c>
      <c r="D31" s="19" t="s">
        <v>16</v>
      </c>
      <c r="E31" s="22" t="s">
        <v>4</v>
      </c>
      <c r="F31" s="39">
        <v>8</v>
      </c>
      <c r="G31" s="22" t="s">
        <v>4</v>
      </c>
      <c r="H31" s="22" t="s">
        <v>4</v>
      </c>
      <c r="I31" s="19">
        <v>193</v>
      </c>
      <c r="J31" s="44">
        <f aca="true" t="shared" si="0" ref="J31:J36">F31*I31</f>
        <v>1544</v>
      </c>
      <c r="K31" s="22" t="s">
        <v>4</v>
      </c>
      <c r="L31" s="22" t="s">
        <v>4</v>
      </c>
      <c r="M31" s="68">
        <f aca="true" t="shared" si="1" ref="M31:M36">J31</f>
        <v>1544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ht="36" customHeight="1">
      <c r="A32" s="74"/>
      <c r="B32" s="16" t="s">
        <v>62</v>
      </c>
      <c r="C32" s="35" t="s">
        <v>55</v>
      </c>
      <c r="D32" s="13" t="s">
        <v>31</v>
      </c>
      <c r="E32" s="24" t="s">
        <v>4</v>
      </c>
      <c r="F32" s="16">
        <v>350</v>
      </c>
      <c r="G32" s="24" t="s">
        <v>4</v>
      </c>
      <c r="H32" s="24" t="s">
        <v>4</v>
      </c>
      <c r="I32" s="13">
        <v>1.7</v>
      </c>
      <c r="J32" s="14">
        <f t="shared" si="0"/>
        <v>595</v>
      </c>
      <c r="K32" s="24" t="s">
        <v>4</v>
      </c>
      <c r="L32" s="24" t="s">
        <v>4</v>
      </c>
      <c r="M32" s="70">
        <f t="shared" si="1"/>
        <v>595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ht="35.25" customHeight="1">
      <c r="A33" s="74"/>
      <c r="B33" s="39" t="s">
        <v>63</v>
      </c>
      <c r="C33" s="51" t="s">
        <v>43</v>
      </c>
      <c r="D33" s="19" t="s">
        <v>31</v>
      </c>
      <c r="E33" s="22" t="s">
        <v>4</v>
      </c>
      <c r="F33" s="39">
        <v>20</v>
      </c>
      <c r="G33" s="22" t="s">
        <v>4</v>
      </c>
      <c r="H33" s="22" t="s">
        <v>4</v>
      </c>
      <c r="I33" s="19">
        <v>1</v>
      </c>
      <c r="J33" s="44">
        <f t="shared" si="0"/>
        <v>20</v>
      </c>
      <c r="K33" s="22" t="s">
        <v>4</v>
      </c>
      <c r="L33" s="22" t="s">
        <v>4</v>
      </c>
      <c r="M33" s="68">
        <f t="shared" si="1"/>
        <v>20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ht="27.75" customHeight="1">
      <c r="A34" s="74"/>
      <c r="B34" s="39" t="s">
        <v>71</v>
      </c>
      <c r="C34" s="20" t="s">
        <v>70</v>
      </c>
      <c r="D34" s="19" t="s">
        <v>16</v>
      </c>
      <c r="E34" s="22" t="s">
        <v>4</v>
      </c>
      <c r="F34" s="39">
        <v>16</v>
      </c>
      <c r="G34" s="22" t="s">
        <v>4</v>
      </c>
      <c r="H34" s="22" t="s">
        <v>4</v>
      </c>
      <c r="I34" s="19">
        <v>7</v>
      </c>
      <c r="J34" s="44">
        <f t="shared" si="0"/>
        <v>112</v>
      </c>
      <c r="K34" s="22" t="s">
        <v>4</v>
      </c>
      <c r="L34" s="22" t="s">
        <v>4</v>
      </c>
      <c r="M34" s="68">
        <f t="shared" si="1"/>
        <v>112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ht="27.75" customHeight="1">
      <c r="A35" s="74"/>
      <c r="B35" s="39" t="s">
        <v>72</v>
      </c>
      <c r="C35" s="20" t="s">
        <v>39</v>
      </c>
      <c r="D35" s="19" t="s">
        <v>16</v>
      </c>
      <c r="E35" s="22" t="s">
        <v>4</v>
      </c>
      <c r="F35" s="39">
        <v>8</v>
      </c>
      <c r="G35" s="22" t="s">
        <v>4</v>
      </c>
      <c r="H35" s="22" t="s">
        <v>4</v>
      </c>
      <c r="I35" s="19">
        <v>9.8</v>
      </c>
      <c r="J35" s="44">
        <f t="shared" si="0"/>
        <v>78.4</v>
      </c>
      <c r="K35" s="22" t="s">
        <v>4</v>
      </c>
      <c r="L35" s="22" t="s">
        <v>4</v>
      </c>
      <c r="M35" s="68">
        <f t="shared" si="1"/>
        <v>78.4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ht="27.75" customHeight="1" thickBot="1">
      <c r="A36" s="98"/>
      <c r="B36" s="9" t="s">
        <v>73</v>
      </c>
      <c r="C36" s="102" t="s">
        <v>40</v>
      </c>
      <c r="D36" s="55" t="s">
        <v>16</v>
      </c>
      <c r="E36" s="58" t="s">
        <v>4</v>
      </c>
      <c r="F36" s="56">
        <v>4</v>
      </c>
      <c r="G36" s="58" t="s">
        <v>4</v>
      </c>
      <c r="H36" s="58" t="s">
        <v>4</v>
      </c>
      <c r="I36" s="55">
        <v>7.2</v>
      </c>
      <c r="J36" s="57">
        <f t="shared" si="0"/>
        <v>28.8</v>
      </c>
      <c r="K36" s="58" t="s">
        <v>4</v>
      </c>
      <c r="L36" s="58" t="s">
        <v>4</v>
      </c>
      <c r="M36" s="103">
        <f t="shared" si="1"/>
        <v>28.8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6" ht="23.25" customHeight="1">
      <c r="A37" s="107"/>
      <c r="B37" s="108"/>
      <c r="C37" s="109" t="s">
        <v>41</v>
      </c>
      <c r="D37" s="62"/>
      <c r="E37" s="62"/>
      <c r="F37" s="62"/>
      <c r="G37" s="110"/>
      <c r="H37" s="110">
        <f>SUM(H13:H36)</f>
        <v>289.0272</v>
      </c>
      <c r="I37" s="110"/>
      <c r="J37" s="110">
        <f>SUM(J12:J36)</f>
        <v>4605.4</v>
      </c>
      <c r="K37" s="110"/>
      <c r="L37" s="110">
        <f>SUM(L12:L36)</f>
        <v>501.82800000000003</v>
      </c>
      <c r="M37" s="111">
        <f>SUM(M12:M36)</f>
        <v>5396.2552000000005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ht="18.75" customHeight="1">
      <c r="A38" s="112"/>
      <c r="B38" s="6"/>
      <c r="C38" s="311" t="s">
        <v>47</v>
      </c>
      <c r="D38" s="312"/>
      <c r="E38" s="312"/>
      <c r="F38" s="312"/>
      <c r="G38" s="313"/>
      <c r="H38" s="36"/>
      <c r="I38" s="36"/>
      <c r="J38" s="36"/>
      <c r="K38" s="36"/>
      <c r="L38" s="36"/>
      <c r="M38" s="113">
        <f>M37*3/100</f>
        <v>161.88765600000002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ht="19.5" customHeight="1">
      <c r="A39" s="112"/>
      <c r="B39" s="6"/>
      <c r="C39" s="30" t="s">
        <v>7</v>
      </c>
      <c r="D39" s="22"/>
      <c r="E39" s="22"/>
      <c r="F39" s="22"/>
      <c r="G39" s="22"/>
      <c r="H39" s="31"/>
      <c r="I39" s="31"/>
      <c r="J39" s="31"/>
      <c r="K39" s="31"/>
      <c r="L39" s="31"/>
      <c r="M39" s="113">
        <f>M37+M38</f>
        <v>5558.142856</v>
      </c>
      <c r="N39"/>
      <c r="O39" t="s">
        <v>58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ht="20.25" customHeight="1">
      <c r="A40" s="112"/>
      <c r="B40" s="6"/>
      <c r="C40" s="311" t="s">
        <v>32</v>
      </c>
      <c r="D40" s="313"/>
      <c r="E40" s="38" t="s">
        <v>58</v>
      </c>
      <c r="F40" s="38"/>
      <c r="G40" s="37"/>
      <c r="H40" s="31"/>
      <c r="I40" s="31"/>
      <c r="J40" s="31"/>
      <c r="K40" s="31"/>
      <c r="L40" s="31"/>
      <c r="M40" s="113">
        <f>M39*10%</f>
        <v>555.8142856000001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ht="20.25" customHeight="1">
      <c r="A41" s="112"/>
      <c r="B41" s="6"/>
      <c r="C41" s="30" t="s">
        <v>7</v>
      </c>
      <c r="D41" s="22"/>
      <c r="E41" s="22"/>
      <c r="F41" s="22"/>
      <c r="G41" s="22"/>
      <c r="H41" s="31"/>
      <c r="I41" s="31"/>
      <c r="J41" s="31"/>
      <c r="K41" s="31"/>
      <c r="L41" s="31"/>
      <c r="M41" s="113">
        <f>M39+M40</f>
        <v>6113.957141600001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ht="19.5" customHeight="1">
      <c r="A42" s="112"/>
      <c r="B42" s="6"/>
      <c r="C42" s="311" t="s">
        <v>33</v>
      </c>
      <c r="D42" s="313"/>
      <c r="E42" s="38"/>
      <c r="F42" s="38"/>
      <c r="G42" s="38"/>
      <c r="H42" s="31"/>
      <c r="I42" s="31"/>
      <c r="J42" s="31"/>
      <c r="K42" s="31"/>
      <c r="L42" s="31"/>
      <c r="M42" s="113">
        <f>M41*8%</f>
        <v>489.1165713280001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ht="16.5">
      <c r="A43" s="112"/>
      <c r="B43" s="6"/>
      <c r="C43" s="30" t="s">
        <v>7</v>
      </c>
      <c r="D43" s="22"/>
      <c r="E43" s="22"/>
      <c r="F43" s="22"/>
      <c r="G43" s="22"/>
      <c r="H43" s="31"/>
      <c r="I43" s="31"/>
      <c r="J43" s="31"/>
      <c r="K43" s="31"/>
      <c r="L43" s="31"/>
      <c r="M43" s="113">
        <f>M41+M42</f>
        <v>6603.0737129280005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ht="16.5">
      <c r="A44" s="112"/>
      <c r="B44" s="6"/>
      <c r="C44" s="311" t="s">
        <v>42</v>
      </c>
      <c r="D44" s="312"/>
      <c r="E44" s="313"/>
      <c r="F44" s="38"/>
      <c r="G44" s="37"/>
      <c r="H44" s="31"/>
      <c r="I44" s="31"/>
      <c r="J44" s="31"/>
      <c r="K44" s="31"/>
      <c r="L44" s="31"/>
      <c r="M44" s="113">
        <f>M43*3%</f>
        <v>198.09221138784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ht="16.5">
      <c r="A45" s="112"/>
      <c r="B45" s="6"/>
      <c r="C45" s="311" t="s">
        <v>7</v>
      </c>
      <c r="D45" s="313"/>
      <c r="E45" s="22"/>
      <c r="F45" s="22"/>
      <c r="G45" s="22"/>
      <c r="H45" s="31"/>
      <c r="I45" s="31"/>
      <c r="J45" s="31"/>
      <c r="K45" s="31"/>
      <c r="L45" s="31"/>
      <c r="M45" s="113">
        <f>M43+M44</f>
        <v>6801.16592431584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ht="16.5">
      <c r="A46" s="112"/>
      <c r="B46" s="6"/>
      <c r="C46" s="30" t="s">
        <v>20</v>
      </c>
      <c r="D46" s="38"/>
      <c r="E46" s="38"/>
      <c r="F46" s="38"/>
      <c r="G46" s="37"/>
      <c r="H46" s="31"/>
      <c r="I46" s="31"/>
      <c r="J46" s="31"/>
      <c r="K46" s="31"/>
      <c r="L46" s="31"/>
      <c r="M46" s="113">
        <f>M45*18%</f>
        <v>1224.209866376851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ht="17.25" thickBot="1">
      <c r="A47" s="114"/>
      <c r="B47" s="115"/>
      <c r="C47" s="309" t="s">
        <v>21</v>
      </c>
      <c r="D47" s="310"/>
      <c r="E47" s="116"/>
      <c r="F47" s="116"/>
      <c r="G47" s="116"/>
      <c r="H47" s="117"/>
      <c r="I47" s="117"/>
      <c r="J47" s="117"/>
      <c r="K47" s="117"/>
      <c r="L47" s="117"/>
      <c r="M47" s="118">
        <f>M45+M46</f>
        <v>8025.375790692691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5:126" ht="21">
      <c r="E48" s="45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ht="21">
      <c r="A49" s="45" t="s">
        <v>59</v>
      </c>
      <c r="B49" s="45"/>
      <c r="C49" s="45"/>
      <c r="D49" s="45"/>
      <c r="E49" s="45"/>
      <c r="F49" s="2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ht="21">
      <c r="A50" s="45"/>
      <c r="B50" s="2"/>
      <c r="C50" s="2"/>
      <c r="D50" s="2"/>
      <c r="E50" s="49"/>
      <c r="F50" s="2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ht="21">
      <c r="A51" s="2"/>
      <c r="B51" s="45" t="s">
        <v>49</v>
      </c>
      <c r="C51" s="45"/>
      <c r="D51" s="45"/>
      <c r="E51" s="2"/>
      <c r="F51" s="2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5:126" ht="13.5">
      <c r="E52" s="2"/>
      <c r="F52" s="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2:126" ht="13.5">
      <c r="B53" s="2"/>
      <c r="C53" s="2"/>
      <c r="D53" s="2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4:126" ht="13.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4:126" ht="13.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4:126" ht="13.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4:126" ht="13.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4:126" ht="13.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4:126" ht="13.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4:126" ht="13.5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4:126" ht="13.5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4:126" ht="13.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4:126" ht="13.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4:126" ht="13.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4:126" ht="13.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4:126" ht="13.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4:126" ht="13.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4:126" ht="13.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4:126" ht="13.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4:126" ht="13.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4:126" ht="13.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4:126" ht="13.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4:126" ht="13.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4:126" ht="13.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4:126" ht="13.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</row>
    <row r="76" spans="14:126" ht="13.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</row>
    <row r="77" spans="14:126" ht="13.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</row>
    <row r="78" spans="14:126" ht="13.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</row>
    <row r="79" spans="14:126" ht="13.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</row>
    <row r="80" spans="14:126" ht="13.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4:126" ht="13.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</row>
    <row r="82" spans="14:126" ht="13.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</row>
    <row r="83" spans="14:126" ht="13.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4:126" ht="13.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4:126" ht="13.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4:126" ht="13.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4:126" ht="13.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4:126" ht="13.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4:126" ht="13.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4:126" ht="13.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4:126" ht="13.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4:126" ht="13.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4:126" ht="13.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4:126" ht="13.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4:126" ht="13.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4:126" ht="13.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4:126" ht="13.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4:126" ht="13.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4:126" ht="13.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4:126" ht="13.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4:126" ht="13.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4:126" ht="13.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4:126" ht="13.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4:126" ht="13.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4:126" ht="13.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4:126" ht="13.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4:126" ht="13.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4:126" ht="13.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4:126" ht="13.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4:126" ht="13.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4:126" ht="13.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4:126" ht="13.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4:126" ht="13.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4:126" ht="13.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4:126" ht="13.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4:126" ht="13.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4:126" ht="13.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4:126" ht="13.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4:126" ht="13.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4:126" ht="13.5"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4:126" ht="13.5"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4:126" ht="13.5"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4:126" ht="13.5"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4:126" ht="13.5"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4:126" ht="13.5"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4:126" ht="13.5"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4:126" ht="13.5"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4:126" ht="13.5"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4:126" ht="13.5"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4:126" ht="13.5"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4:126" ht="13.5"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</row>
    <row r="132" spans="14:126" ht="13.5"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</row>
    <row r="133" spans="14:126" ht="13.5"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</row>
    <row r="134" spans="14:126" ht="13.5"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</row>
    <row r="135" spans="14:126" ht="13.5"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</row>
    <row r="136" spans="14:126" ht="13.5"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</row>
    <row r="137" spans="14:126" ht="13.5"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4:126" ht="13.5"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4:126" ht="13.5"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4:126" ht="13.5"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4:126" ht="13.5"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4:126" ht="13.5"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4:126" ht="13.5"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4:126" ht="13.5"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4:126" ht="13.5"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4:126" ht="13.5"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4:126" ht="13.5"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</row>
    <row r="148" spans="14:126" ht="13.5"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4:126" ht="13.5"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4:126" ht="13.5"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4:126" ht="13.5"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4:126" ht="13.5"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4:126" ht="13.5"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4:126" ht="13.5"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4:126" ht="13.5"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4:126" ht="13.5"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4:126" ht="13.5"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4:126" ht="13.5"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4:126" ht="13.5"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4:126" ht="13.5"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4:126" ht="13.5"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4:126" ht="13.5"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4:126" ht="13.5"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4:126" ht="13.5"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</row>
    <row r="165" spans="14:126" ht="13.5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</row>
    <row r="166" spans="14:126" ht="13.5"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</row>
    <row r="167" spans="14:126" ht="13.5"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</row>
    <row r="168" spans="14:126" ht="13.5"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</row>
    <row r="169" spans="14:126" ht="13.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4:126" ht="13.5"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4:126" ht="13.5"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</row>
    <row r="172" spans="14:126" ht="13.5"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</row>
    <row r="173" spans="14:126" ht="13.5"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4:126" ht="13.5"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</row>
    <row r="175" spans="14:126" ht="13.5"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</row>
    <row r="176" spans="14:126" ht="13.5"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</row>
    <row r="177" spans="14:126" ht="13.5"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</row>
    <row r="178" spans="14:126" ht="13.5"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4:126" ht="13.5"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4:126" ht="13.5"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4:126" ht="13.5"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</row>
    <row r="182" spans="14:126" ht="13.5"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</row>
    <row r="183" spans="14:126" ht="13.5"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4:126" ht="13.5"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4:126" ht="13.5"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4:126" ht="13.5"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</row>
    <row r="187" spans="14:126" ht="13.5"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</row>
    <row r="188" spans="14:126" ht="13.5"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</row>
    <row r="189" spans="14:126" ht="13.5"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</row>
    <row r="190" spans="14:126" ht="13.5"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</row>
    <row r="191" spans="14:126" ht="13.5"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</row>
    <row r="192" spans="14:126" ht="13.5"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</row>
    <row r="193" spans="14:126" ht="13.5"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</row>
    <row r="194" spans="14:126" ht="13.5"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</row>
    <row r="195" spans="14:126" ht="13.5"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4:126" ht="13.5"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4:126" ht="13.5"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</row>
    <row r="198" spans="14:126" ht="13.5"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4:126" ht="13.5"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4:126" ht="13.5"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4:126" ht="13.5"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4:126" ht="13.5"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4:126" ht="13.5"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4:126" ht="13.5"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4:126" ht="13.5"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4:126" ht="13.5"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4:126" ht="13.5"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4:126" ht="13.5"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4:126" ht="13.5"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4:126" ht="13.5"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4:126" ht="13.5"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4:126" ht="13.5"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4:126" ht="13.5"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4:126" ht="13.5"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4:126" ht="13.5"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4:126" ht="13.5"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4:126" ht="13.5"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4:126" ht="13.5"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4:126" ht="13.5"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4:126" ht="13.5"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4:126" ht="13.5"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4:126" ht="13.5"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4:126" ht="13.5"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4:126" ht="13.5"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4:126" ht="13.5"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4:126" ht="13.5"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4:126" ht="13.5"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4:126" ht="13.5"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4:126" ht="13.5"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4:126" ht="13.5"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4:126" ht="13.5"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4:126" ht="13.5"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4:126" ht="13.5"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4:126" ht="13.5"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4:126" ht="13.5"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4:126" ht="13.5"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4:126" ht="13.5"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4:126" ht="13.5"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4:126" ht="13.5"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4:126" ht="13.5"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4:126" ht="13.5"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4:126" ht="13.5"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4:126" ht="13.5"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4:126" ht="13.5"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4:126" ht="13.5"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4:126" ht="13.5"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4:126" ht="13.5"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4:126" ht="13.5"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4:126" ht="13.5"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4:126" ht="13.5"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4:126" ht="13.5"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4:126" ht="13.5"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4:126" ht="13.5"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4:126" ht="13.5"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</row>
    <row r="255" spans="14:126" ht="13.5"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4:126" ht="13.5"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</row>
    <row r="257" spans="14:126" ht="13.5"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4:126" ht="13.5"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4:126" ht="13.5"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4:126" ht="13.5"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4:126" ht="13.5"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4:126" ht="13.5"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4:126" ht="13.5"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4:126" ht="13.5"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4:126" ht="13.5"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4:126" ht="13.5"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4:126" ht="13.5"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</row>
    <row r="268" spans="14:126" ht="13.5"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</row>
    <row r="269" spans="14:126" ht="13.5"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</row>
    <row r="270" spans="14:126" ht="13.5"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</row>
    <row r="271" spans="14:126" ht="13.5"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</row>
    <row r="272" spans="14:126" ht="13.5"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</row>
    <row r="273" spans="14:126" ht="13.5"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</row>
    <row r="274" spans="14:125" ht="13.5"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</row>
    <row r="275" spans="14:125" ht="13.5"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</row>
    <row r="276" spans="14:125" ht="13.5"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</row>
    <row r="277" spans="14:125" ht="13.5"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</row>
    <row r="278" spans="14:125" ht="13.5"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</row>
    <row r="279" spans="14:125" ht="13.5"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</row>
    <row r="280" spans="14:125" ht="13.5"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</row>
    <row r="281" spans="14:125" ht="13.5"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</row>
    <row r="282" spans="14:125" ht="13.5"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</row>
    <row r="283" spans="14:125" ht="13.5"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</row>
    <row r="284" spans="14:125" ht="13.5"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</row>
    <row r="285" spans="14:125" ht="13.5"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</row>
    <row r="286" spans="14:125" ht="13.5"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</row>
    <row r="287" spans="14:125" ht="13.5"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</row>
    <row r="288" spans="14:125" ht="13.5"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</row>
    <row r="289" spans="14:125" ht="13.5"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</row>
    <row r="290" spans="14:125" ht="13.5"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</row>
    <row r="291" spans="14:125" ht="13.5"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</row>
    <row r="292" spans="14:125" ht="13.5"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</row>
    <row r="293" spans="14:125" ht="13.5"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</row>
    <row r="294" spans="14:125" ht="13.5"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</row>
    <row r="295" spans="14:125" ht="13.5"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</row>
    <row r="296" spans="14:125" ht="13.5"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</row>
    <row r="297" spans="14:125" ht="13.5"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</row>
    <row r="298" spans="14:125" ht="13.5"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</row>
    <row r="299" spans="14:125" ht="13.5"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</row>
    <row r="300" spans="14:125" ht="13.5"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</row>
    <row r="301" spans="14:125" ht="13.5"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</row>
    <row r="302" spans="14:125" ht="13.5"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</row>
    <row r="303" spans="14:125" ht="13.5"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</row>
    <row r="304" spans="14:125" ht="13.5"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</row>
    <row r="305" spans="14:125" ht="13.5"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</row>
    <row r="306" spans="14:125" ht="13.5"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</row>
    <row r="307" spans="14:125" ht="13.5"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</row>
    <row r="308" spans="14:125" ht="13.5"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</row>
    <row r="309" spans="14:125" ht="13.5"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</row>
    <row r="310" spans="14:125" ht="13.5"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</row>
    <row r="311" spans="14:125" ht="13.5"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</row>
    <row r="312" spans="14:125" ht="13.5"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</row>
    <row r="313" spans="14:125" ht="13.5"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</row>
    <row r="314" spans="14:125" ht="13.5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</row>
    <row r="315" spans="14:125" ht="13.5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</row>
    <row r="316" spans="14:125" ht="13.5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</row>
    <row r="317" spans="14:125" ht="13.5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</row>
    <row r="318" spans="14:125" ht="13.5"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</row>
    <row r="319" spans="14:125" ht="13.5"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</row>
    <row r="320" spans="14:125" ht="13.5"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</row>
    <row r="321" spans="14:125" ht="13.5"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</row>
    <row r="322" spans="14:125" ht="13.5"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</row>
    <row r="323" spans="14:125" ht="13.5"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</row>
    <row r="324" spans="14:125" ht="13.5"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</row>
    <row r="325" spans="14:125" ht="13.5"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</row>
    <row r="326" spans="14:125" ht="13.5"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</row>
    <row r="327" spans="14:125" ht="13.5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</row>
    <row r="328" spans="14:125" ht="13.5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</row>
    <row r="329" spans="14:125" ht="13.5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</row>
    <row r="330" spans="14:125" ht="13.5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</row>
    <row r="331" spans="14:125" ht="13.5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</row>
    <row r="332" spans="14:125" ht="13.5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</row>
    <row r="333" spans="14:125" ht="13.5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</row>
    <row r="334" spans="14:125" ht="13.5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</row>
    <row r="335" spans="14:125" ht="13.5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</row>
    <row r="336" spans="14:125" ht="13.5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</row>
    <row r="337" spans="14:125" ht="13.5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</row>
    <row r="338" spans="14:125" ht="13.5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</row>
    <row r="339" spans="14:125" ht="13.5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</row>
    <row r="340" spans="14:125" ht="13.5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</row>
    <row r="341" spans="14:125" ht="13.5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</row>
    <row r="342" spans="14:125" ht="13.5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</row>
    <row r="343" spans="14:125" ht="13.5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</row>
    <row r="344" spans="14:125" ht="13.5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</row>
    <row r="345" spans="14:125" ht="13.5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</row>
    <row r="346" spans="14:125" ht="13.5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</row>
    <row r="347" spans="14:125" ht="13.5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</row>
    <row r="348" spans="14:125" ht="13.5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</row>
    <row r="349" spans="14:125" ht="13.5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</row>
    <row r="350" spans="14:125" ht="13.5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</row>
    <row r="351" spans="14:125" ht="13.5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</row>
    <row r="352" spans="14:125" ht="13.5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</row>
    <row r="353" spans="14:125" ht="13.5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</row>
    <row r="354" spans="14:125" ht="13.5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</row>
    <row r="355" spans="14:125" ht="13.5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</row>
    <row r="356" spans="14:125" ht="13.5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</row>
    <row r="357" spans="14:125" ht="13.5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</row>
    <row r="358" spans="14:125" ht="13.5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</row>
    <row r="359" spans="14:125" ht="13.5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</row>
    <row r="360" spans="14:125" ht="13.5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</row>
    <row r="361" spans="14:125" ht="13.5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</row>
    <row r="362" spans="14:125" ht="13.5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</row>
    <row r="363" spans="14:125" ht="13.5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</row>
    <row r="364" spans="14:125" ht="13.5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</row>
    <row r="365" spans="14:125" ht="13.5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</row>
    <row r="366" spans="14:125" ht="13.5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</row>
    <row r="367" spans="14:125" ht="13.5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</row>
    <row r="368" spans="14:125" ht="13.5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</row>
    <row r="369" spans="14:125" ht="13.5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</row>
    <row r="370" spans="14:125" ht="13.5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</row>
    <row r="371" spans="14:125" ht="13.5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</row>
    <row r="372" spans="14:125" ht="13.5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</row>
    <row r="373" spans="14:125" ht="13.5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</row>
    <row r="374" spans="14:125" ht="13.5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</row>
    <row r="375" spans="14:125" ht="13.5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</row>
    <row r="376" spans="14:125" ht="13.5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</row>
    <row r="377" spans="14:125" ht="13.5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</row>
    <row r="378" spans="14:125" ht="13.5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</row>
    <row r="379" spans="14:125" ht="13.5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</row>
    <row r="380" spans="14:125" ht="13.5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</row>
    <row r="381" spans="14:125" ht="13.5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</row>
    <row r="382" spans="14:125" ht="13.5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</row>
    <row r="383" spans="14:125" ht="13.5"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</row>
    <row r="384" spans="14:125" ht="13.5"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</row>
    <row r="385" spans="14:125" ht="13.5"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</row>
    <row r="386" spans="14:125" ht="13.5"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</row>
    <row r="387" spans="14:125" ht="13.5"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</row>
    <row r="388" spans="14:125" ht="13.5"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</row>
    <row r="389" spans="14:125" ht="13.5"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</row>
    <row r="390" spans="14:125" ht="13.5"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</row>
    <row r="391" spans="14:125" ht="13.5"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</row>
    <row r="392" spans="14:125" ht="13.5"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</row>
    <row r="393" spans="14:125" ht="13.5"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</row>
    <row r="394" spans="14:125" ht="13.5"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</row>
    <row r="395" spans="14:125" ht="13.5"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</row>
    <row r="396" spans="14:125" ht="13.5"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</row>
    <row r="397" spans="14:125" ht="13.5"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</row>
    <row r="398" spans="14:125" ht="13.5"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</row>
    <row r="399" spans="14:125" ht="13.5"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</row>
    <row r="400" spans="14:125" ht="13.5"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</row>
    <row r="401" spans="14:125" ht="13.5"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</row>
    <row r="402" spans="14:125" ht="13.5"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</row>
    <row r="403" spans="14:125" ht="13.5"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</row>
    <row r="404" spans="14:125" ht="13.5"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</row>
    <row r="405" spans="14:125" ht="13.5"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</row>
    <row r="406" spans="14:125" ht="13.5"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</row>
    <row r="407" spans="14:125" ht="13.5"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</row>
    <row r="408" spans="14:125" ht="13.5"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</row>
    <row r="409" spans="14:125" ht="13.5"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</row>
    <row r="410" spans="14:125" ht="13.5"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</row>
    <row r="411" spans="14:125" ht="13.5"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</row>
    <row r="412" spans="14:125" ht="13.5"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</row>
    <row r="413" spans="14:125" ht="13.5"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</row>
    <row r="414" spans="14:125" ht="13.5"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</row>
    <row r="415" spans="14:125" ht="13.5"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</row>
    <row r="416" spans="14:125" ht="13.5"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</row>
    <row r="417" spans="14:125" ht="13.5"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</row>
    <row r="418" spans="14:125" ht="13.5"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</row>
    <row r="419" spans="14:125" ht="13.5"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</row>
    <row r="420" spans="14:125" ht="13.5"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</row>
    <row r="421" spans="14:125" ht="13.5"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</row>
    <row r="422" spans="14:125" ht="13.5"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</row>
    <row r="423" spans="14:125" ht="13.5"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</row>
    <row r="424" spans="14:125" ht="13.5"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</row>
    <row r="425" spans="14:125" ht="13.5"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</row>
    <row r="426" spans="14:125" ht="13.5"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</row>
    <row r="427" spans="14:125" ht="13.5"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</row>
    <row r="428" spans="14:125" ht="13.5"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</row>
    <row r="429" spans="14:125" ht="13.5"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</row>
    <row r="430" spans="14:125" ht="13.5"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</row>
  </sheetData>
  <sheetProtection/>
  <mergeCells count="31">
    <mergeCell ref="A2:M2"/>
    <mergeCell ref="D4:E4"/>
    <mergeCell ref="B3:C3"/>
    <mergeCell ref="D3:E3"/>
    <mergeCell ref="G3:I3"/>
    <mergeCell ref="B4:C4"/>
    <mergeCell ref="C6:C10"/>
    <mergeCell ref="L9:L10"/>
    <mergeCell ref="A6:A10"/>
    <mergeCell ref="E6:F6"/>
    <mergeCell ref="B6:B10"/>
    <mergeCell ref="H9:H10"/>
    <mergeCell ref="G9:G10"/>
    <mergeCell ref="G6:M6"/>
    <mergeCell ref="M7:M10"/>
    <mergeCell ref="C47:D47"/>
    <mergeCell ref="C38:G38"/>
    <mergeCell ref="C42:D42"/>
    <mergeCell ref="C44:E44"/>
    <mergeCell ref="C45:D45"/>
    <mergeCell ref="C40:D40"/>
    <mergeCell ref="A5:M5"/>
    <mergeCell ref="I9:I10"/>
    <mergeCell ref="F7:F10"/>
    <mergeCell ref="E7:E10"/>
    <mergeCell ref="K9:K10"/>
    <mergeCell ref="G7:H8"/>
    <mergeCell ref="J9:J10"/>
    <mergeCell ref="K7:L8"/>
    <mergeCell ref="D6:D10"/>
    <mergeCell ref="I7:J8"/>
  </mergeCells>
  <printOptions/>
  <pageMargins left="0.537401575" right="0.025590551" top="0.551181102" bottom="0.5" header="0.15748031496063" footer="0.15748031496063"/>
  <pageSetup firstPageNumber="5" useFirstPageNumber="1" horizontalDpi="300" verticalDpi="300" orientation="landscape" paperSize="9" scale="85" r:id="rId1"/>
  <headerFooter alignWithMargins="0">
    <oddHeader>&amp;R&amp;P</oddHeader>
  </headerFooter>
  <rowBreaks count="1" manualBreakCount="1">
    <brk id="1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DW57"/>
  <sheetViews>
    <sheetView zoomScale="115" zoomScaleNormal="115" zoomScalePageLayoutView="0" workbookViewId="0" topLeftCell="A10">
      <selection activeCell="E17" sqref="E17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1.875" style="0" customWidth="1"/>
    <col min="5" max="5" width="7.375" style="0" customWidth="1"/>
    <col min="6" max="6" width="7.125" style="0" customWidth="1"/>
    <col min="7" max="7" width="8.875" style="0" customWidth="1"/>
    <col min="8" max="8" width="7.875" style="0" customWidth="1"/>
    <col min="9" max="9" width="9.25390625" style="0" customWidth="1"/>
    <col min="10" max="10" width="8.125" style="0" customWidth="1"/>
    <col min="12" max="12" width="8.00390625" style="0" customWidth="1"/>
    <col min="13" max="13" width="8.375" style="0" customWidth="1"/>
    <col min="14" max="14" width="9.625" style="0" bestFit="1" customWidth="1"/>
    <col min="15" max="15" width="0.6171875" style="0" customWidth="1"/>
  </cols>
  <sheetData>
    <row r="1" spans="2:126" s="131" customFormat="1" ht="27.75" customHeight="1">
      <c r="B1" s="330" t="s">
        <v>123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128"/>
      <c r="P1" s="128"/>
      <c r="Q1" s="128"/>
      <c r="R1" s="129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</row>
    <row r="2" spans="2:126" s="131" customFormat="1" ht="24" customHeight="1">
      <c r="B2" s="331" t="s">
        <v>48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</row>
    <row r="3" spans="2:126" s="131" customFormat="1" ht="21.75" customHeight="1">
      <c r="B3" s="132"/>
      <c r="C3" s="332" t="s">
        <v>17</v>
      </c>
      <c r="D3" s="332"/>
      <c r="E3" s="333">
        <f>N52</f>
        <v>6717.687151240927</v>
      </c>
      <c r="F3" s="333"/>
      <c r="G3" s="133" t="s">
        <v>25</v>
      </c>
      <c r="H3" s="334" t="s">
        <v>19</v>
      </c>
      <c r="I3" s="334"/>
      <c r="J3" s="334"/>
      <c r="K3" s="134"/>
      <c r="L3" s="134"/>
      <c r="M3" s="134"/>
      <c r="N3" s="134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</row>
    <row r="4" spans="2:126" s="131" customFormat="1" ht="20.25" customHeight="1">
      <c r="B4" s="132"/>
      <c r="C4" s="332"/>
      <c r="D4" s="332"/>
      <c r="E4" s="335"/>
      <c r="F4" s="335"/>
      <c r="G4" s="133"/>
      <c r="H4" s="133"/>
      <c r="I4" s="135"/>
      <c r="J4" s="136"/>
      <c r="K4" s="134"/>
      <c r="L4" s="134"/>
      <c r="M4" s="134"/>
      <c r="N4" s="134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</row>
    <row r="5" spans="2:126" s="131" customFormat="1" ht="22.5" customHeight="1">
      <c r="B5" s="336" t="s">
        <v>133</v>
      </c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</row>
    <row r="6" spans="2:126" s="2" customFormat="1" ht="6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2:126" s="1" customFormat="1" ht="20.25" customHeight="1">
      <c r="B7" s="337" t="s">
        <v>0</v>
      </c>
      <c r="C7" s="340" t="s">
        <v>9</v>
      </c>
      <c r="D7" s="342" t="s">
        <v>1</v>
      </c>
      <c r="E7" s="344" t="s">
        <v>132</v>
      </c>
      <c r="F7" s="347" t="s">
        <v>2</v>
      </c>
      <c r="G7" s="347"/>
      <c r="H7" s="348" t="s">
        <v>30</v>
      </c>
      <c r="I7" s="348"/>
      <c r="J7" s="348"/>
      <c r="K7" s="348"/>
      <c r="L7" s="348"/>
      <c r="M7" s="348"/>
      <c r="N7" s="34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38"/>
      <c r="C8" s="341"/>
      <c r="D8" s="343"/>
      <c r="E8" s="345"/>
      <c r="F8" s="341" t="s">
        <v>12</v>
      </c>
      <c r="G8" s="341" t="s">
        <v>10</v>
      </c>
      <c r="H8" s="349" t="s">
        <v>13</v>
      </c>
      <c r="I8" s="349"/>
      <c r="J8" s="349" t="s">
        <v>14</v>
      </c>
      <c r="K8" s="349"/>
      <c r="L8" s="349" t="s">
        <v>15</v>
      </c>
      <c r="M8" s="349"/>
      <c r="N8" s="349" t="s">
        <v>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38"/>
      <c r="C9" s="341"/>
      <c r="D9" s="343"/>
      <c r="E9" s="345"/>
      <c r="F9" s="341"/>
      <c r="G9" s="341"/>
      <c r="H9" s="344" t="s">
        <v>18</v>
      </c>
      <c r="I9" s="349" t="s">
        <v>3</v>
      </c>
      <c r="J9" s="344" t="s">
        <v>18</v>
      </c>
      <c r="K9" s="349" t="s">
        <v>3</v>
      </c>
      <c r="L9" s="344" t="s">
        <v>18</v>
      </c>
      <c r="M9" s="349" t="s">
        <v>3</v>
      </c>
      <c r="N9" s="34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39"/>
      <c r="C10" s="341"/>
      <c r="D10" s="343"/>
      <c r="E10" s="346"/>
      <c r="F10" s="341"/>
      <c r="G10" s="341"/>
      <c r="H10" s="340"/>
      <c r="I10" s="349"/>
      <c r="J10" s="340"/>
      <c r="K10" s="349"/>
      <c r="L10" s="340"/>
      <c r="M10" s="349"/>
      <c r="N10" s="34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38">
        <v>1</v>
      </c>
      <c r="C11" s="138">
        <v>2</v>
      </c>
      <c r="D11" s="138">
        <v>3</v>
      </c>
      <c r="E11" s="138">
        <v>4</v>
      </c>
      <c r="F11" s="138">
        <v>5</v>
      </c>
      <c r="G11" s="138">
        <v>6</v>
      </c>
      <c r="H11" s="138">
        <v>7</v>
      </c>
      <c r="I11" s="138">
        <v>8</v>
      </c>
      <c r="J11" s="138">
        <v>9</v>
      </c>
      <c r="K11" s="138">
        <v>10</v>
      </c>
      <c r="L11" s="138">
        <v>11</v>
      </c>
      <c r="M11" s="138">
        <v>12</v>
      </c>
      <c r="N11" s="138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1.25" thickTop="1">
      <c r="B12" s="10">
        <v>1</v>
      </c>
      <c r="C12" s="139" t="s">
        <v>80</v>
      </c>
      <c r="D12" s="208" t="s">
        <v>54</v>
      </c>
      <c r="E12" s="208" t="s">
        <v>16</v>
      </c>
      <c r="F12" s="208"/>
      <c r="G12" s="208">
        <v>8</v>
      </c>
      <c r="H12" s="141"/>
      <c r="I12" s="142"/>
      <c r="J12" s="142"/>
      <c r="K12" s="142"/>
      <c r="L12" s="142"/>
      <c r="M12" s="142"/>
      <c r="N12" s="143"/>
      <c r="O12"/>
      <c r="P12"/>
      <c r="Q12">
        <f>F19/8</f>
        <v>8.1875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6.5">
      <c r="B13" s="10"/>
      <c r="C13" s="144"/>
      <c r="D13" s="145" t="s">
        <v>29</v>
      </c>
      <c r="E13" s="144" t="s">
        <v>28</v>
      </c>
      <c r="F13" s="144">
        <v>0.28</v>
      </c>
      <c r="G13" s="166">
        <f>F13*G12</f>
        <v>2.24</v>
      </c>
      <c r="H13" s="144">
        <v>4.6</v>
      </c>
      <c r="I13" s="146">
        <f>H13*G13</f>
        <v>10.304</v>
      </c>
      <c r="J13" s="147">
        <v>0</v>
      </c>
      <c r="K13" s="147">
        <f>G13*J13</f>
        <v>0</v>
      </c>
      <c r="L13" s="147">
        <v>0</v>
      </c>
      <c r="M13" s="147">
        <f>L13*G13</f>
        <v>0</v>
      </c>
      <c r="N13" s="146">
        <f>I13</f>
        <v>10.304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7.25" thickBot="1">
      <c r="B14" s="148"/>
      <c r="C14" s="149" t="s">
        <v>61</v>
      </c>
      <c r="D14" s="150" t="s">
        <v>66</v>
      </c>
      <c r="E14" s="149" t="s">
        <v>27</v>
      </c>
      <c r="F14" s="149">
        <v>0.314</v>
      </c>
      <c r="G14" s="192">
        <f>F14*G12</f>
        <v>2.512</v>
      </c>
      <c r="H14" s="152">
        <v>0</v>
      </c>
      <c r="I14" s="152">
        <f>H14*G14</f>
        <v>0</v>
      </c>
      <c r="J14" s="152">
        <v>0</v>
      </c>
      <c r="K14" s="152">
        <f>G14*J14</f>
        <v>0</v>
      </c>
      <c r="L14" s="153">
        <v>26.95</v>
      </c>
      <c r="M14" s="154">
        <f>L14*G14</f>
        <v>67.69839999999999</v>
      </c>
      <c r="N14" s="154">
        <f>M14</f>
        <v>67.69839999999999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26" s="1" customFormat="1" ht="17.25" thickTop="1">
      <c r="B15" s="155">
        <v>2</v>
      </c>
      <c r="C15" s="350" t="s">
        <v>134</v>
      </c>
      <c r="D15" s="208" t="s">
        <v>36</v>
      </c>
      <c r="E15" s="208" t="s">
        <v>131</v>
      </c>
      <c r="F15" s="208"/>
      <c r="G15" s="213">
        <f>G12*Q15</f>
        <v>1.884</v>
      </c>
      <c r="H15" s="214"/>
      <c r="I15" s="215"/>
      <c r="J15" s="215"/>
      <c r="K15" s="215"/>
      <c r="L15" s="215"/>
      <c r="M15" s="215"/>
      <c r="N15" s="216"/>
      <c r="O15"/>
      <c r="P15"/>
      <c r="Q15">
        <f>3.14*0.25*0.25*1.2</f>
        <v>0.2355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2:126" s="1" customFormat="1" ht="16.5">
      <c r="B16" s="8"/>
      <c r="C16" s="351"/>
      <c r="D16" s="145" t="s">
        <v>29</v>
      </c>
      <c r="E16" s="144" t="s">
        <v>28</v>
      </c>
      <c r="F16" s="144">
        <v>2</v>
      </c>
      <c r="G16" s="166">
        <f>F16*G15</f>
        <v>3.768</v>
      </c>
      <c r="H16" s="144">
        <v>4.6</v>
      </c>
      <c r="I16" s="146">
        <f>H16*G16</f>
        <v>17.3328</v>
      </c>
      <c r="J16" s="147">
        <v>0</v>
      </c>
      <c r="K16" s="147">
        <f>G16*J16</f>
        <v>0</v>
      </c>
      <c r="L16" s="147">
        <v>0</v>
      </c>
      <c r="M16" s="147">
        <f>L16*G16</f>
        <v>0</v>
      </c>
      <c r="N16" s="158">
        <f>I16</f>
        <v>17.3328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2:126" s="1" customFormat="1" ht="17.25" thickBot="1">
      <c r="B17" s="160"/>
      <c r="C17" s="149" t="s">
        <v>81</v>
      </c>
      <c r="D17" s="150" t="s">
        <v>82</v>
      </c>
      <c r="E17" s="149" t="s">
        <v>83</v>
      </c>
      <c r="F17" s="149">
        <v>1</v>
      </c>
      <c r="G17" s="192">
        <f>F17*G15</f>
        <v>1.884</v>
      </c>
      <c r="H17" s="152">
        <v>0</v>
      </c>
      <c r="I17" s="152">
        <f>H17*G17</f>
        <v>0</v>
      </c>
      <c r="J17" s="161">
        <v>97</v>
      </c>
      <c r="K17" s="154">
        <f>G17*J17</f>
        <v>182.748</v>
      </c>
      <c r="L17" s="152">
        <v>0</v>
      </c>
      <c r="M17" s="152">
        <f>L17*G17</f>
        <v>0</v>
      </c>
      <c r="N17" s="154">
        <f>M17+K17</f>
        <v>182.748</v>
      </c>
      <c r="O17"/>
      <c r="P17" s="16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8" ht="27.75" thickTop="1">
      <c r="B18" s="163">
        <v>3</v>
      </c>
      <c r="C18" s="352" t="s">
        <v>84</v>
      </c>
      <c r="D18" s="208" t="s">
        <v>125</v>
      </c>
      <c r="E18" s="164" t="s">
        <v>6</v>
      </c>
      <c r="F18" s="164"/>
      <c r="G18" s="206">
        <f>G12*R18</f>
        <v>1.18912</v>
      </c>
      <c r="H18" s="141"/>
      <c r="I18" s="142"/>
      <c r="J18" s="142"/>
      <c r="K18" s="142"/>
      <c r="L18" s="142"/>
      <c r="M18" s="142"/>
      <c r="N18" s="143"/>
      <c r="R18">
        <f>(10*14+2*4.32)/1000</f>
        <v>0.14864</v>
      </c>
    </row>
    <row r="19" spans="2:126" s="1" customFormat="1" ht="13.5" customHeight="1">
      <c r="B19" s="165"/>
      <c r="C19" s="353"/>
      <c r="D19" s="145" t="s">
        <v>29</v>
      </c>
      <c r="E19" s="144" t="s">
        <v>85</v>
      </c>
      <c r="F19" s="144">
        <v>65.5</v>
      </c>
      <c r="G19" s="166">
        <f>F19*G18</f>
        <v>77.88736</v>
      </c>
      <c r="H19" s="144">
        <v>4.6</v>
      </c>
      <c r="I19" s="146">
        <f>H19*G19</f>
        <v>358.281856</v>
      </c>
      <c r="J19" s="147">
        <v>0</v>
      </c>
      <c r="K19" s="147">
        <f>G19*J19</f>
        <v>0</v>
      </c>
      <c r="L19" s="147">
        <v>0</v>
      </c>
      <c r="M19" s="147">
        <f>L19*G19</f>
        <v>0</v>
      </c>
      <c r="N19" s="146">
        <f>I19</f>
        <v>358.281856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13.5" customHeight="1">
      <c r="B20" s="165"/>
      <c r="C20" s="354"/>
      <c r="D20" s="167" t="s">
        <v>22</v>
      </c>
      <c r="E20" s="140" t="s">
        <v>25</v>
      </c>
      <c r="F20" s="140">
        <v>4.48</v>
      </c>
      <c r="G20" s="191">
        <f>F20*G18</f>
        <v>5.3272576</v>
      </c>
      <c r="H20" s="147">
        <v>0</v>
      </c>
      <c r="I20" s="147">
        <f aca="true" t="shared" si="0" ref="I20:I29">H20*G20</f>
        <v>0</v>
      </c>
      <c r="J20" s="140"/>
      <c r="K20" s="168">
        <f aca="true" t="shared" si="1" ref="K20:K29">J20*G20</f>
        <v>0</v>
      </c>
      <c r="L20" s="140">
        <v>3.2</v>
      </c>
      <c r="M20" s="168">
        <f aca="true" t="shared" si="2" ref="M20:M29">L20*G20</f>
        <v>17.04722432</v>
      </c>
      <c r="N20" s="168">
        <f aca="true" t="shared" si="3" ref="N20:N29">M20+K20+I20</f>
        <v>17.04722432</v>
      </c>
    </row>
    <row r="21" spans="2:18" ht="13.5" customHeight="1">
      <c r="B21" s="165"/>
      <c r="C21" s="144" t="s">
        <v>86</v>
      </c>
      <c r="D21" s="145" t="s">
        <v>87</v>
      </c>
      <c r="E21" s="144" t="s">
        <v>88</v>
      </c>
      <c r="F21" s="144" t="s">
        <v>89</v>
      </c>
      <c r="G21" s="157">
        <f>G12*R21</f>
        <v>80</v>
      </c>
      <c r="H21" s="147">
        <v>0</v>
      </c>
      <c r="I21" s="147">
        <f t="shared" si="0"/>
        <v>0</v>
      </c>
      <c r="J21" s="159">
        <v>23.7</v>
      </c>
      <c r="K21" s="159">
        <f t="shared" si="1"/>
        <v>1896</v>
      </c>
      <c r="L21" s="147">
        <v>0</v>
      </c>
      <c r="M21" s="147">
        <f t="shared" si="2"/>
        <v>0</v>
      </c>
      <c r="N21" s="159">
        <f t="shared" si="3"/>
        <v>1896</v>
      </c>
      <c r="R21">
        <v>10</v>
      </c>
    </row>
    <row r="22" spans="2:18" ht="13.5" customHeight="1">
      <c r="B22" s="165"/>
      <c r="C22" s="144" t="s">
        <v>90</v>
      </c>
      <c r="D22" s="145" t="s">
        <v>91</v>
      </c>
      <c r="E22" s="144" t="s">
        <v>88</v>
      </c>
      <c r="F22" s="144" t="s">
        <v>89</v>
      </c>
      <c r="G22" s="157">
        <f>G12*R22</f>
        <v>16</v>
      </c>
      <c r="H22" s="147">
        <v>0</v>
      </c>
      <c r="I22" s="147">
        <f t="shared" si="0"/>
        <v>0</v>
      </c>
      <c r="J22" s="159">
        <v>6.5</v>
      </c>
      <c r="K22" s="159">
        <f t="shared" si="1"/>
        <v>104</v>
      </c>
      <c r="L22" s="147">
        <v>0</v>
      </c>
      <c r="M22" s="147">
        <f t="shared" si="2"/>
        <v>0</v>
      </c>
      <c r="N22" s="159">
        <f t="shared" si="3"/>
        <v>104</v>
      </c>
      <c r="R22">
        <v>2</v>
      </c>
    </row>
    <row r="23" spans="2:18" ht="13.5" customHeight="1">
      <c r="B23" s="165"/>
      <c r="C23" s="144" t="s">
        <v>92</v>
      </c>
      <c r="D23" s="145" t="s">
        <v>93</v>
      </c>
      <c r="E23" s="144" t="s">
        <v>88</v>
      </c>
      <c r="F23" s="144" t="s">
        <v>89</v>
      </c>
      <c r="G23" s="144">
        <f>G12*R23</f>
        <v>1.6</v>
      </c>
      <c r="H23" s="147">
        <v>0</v>
      </c>
      <c r="I23" s="147">
        <f t="shared" si="0"/>
        <v>0</v>
      </c>
      <c r="J23" s="159">
        <v>5.3</v>
      </c>
      <c r="K23" s="159">
        <f t="shared" si="1"/>
        <v>8.48</v>
      </c>
      <c r="L23" s="147">
        <v>0</v>
      </c>
      <c r="M23" s="147">
        <f t="shared" si="2"/>
        <v>0</v>
      </c>
      <c r="N23" s="159">
        <f t="shared" si="3"/>
        <v>8.48</v>
      </c>
      <c r="R23">
        <v>0.2</v>
      </c>
    </row>
    <row r="24" spans="2:126" s="1" customFormat="1" ht="27" customHeight="1">
      <c r="B24" s="165"/>
      <c r="C24" s="144" t="s">
        <v>117</v>
      </c>
      <c r="D24" s="145" t="s">
        <v>118</v>
      </c>
      <c r="E24" s="144" t="s">
        <v>119</v>
      </c>
      <c r="F24" s="144" t="s">
        <v>89</v>
      </c>
      <c r="G24" s="166">
        <f>G12*R24</f>
        <v>0.156</v>
      </c>
      <c r="H24" s="159"/>
      <c r="I24" s="146">
        <f>G24*H24</f>
        <v>0</v>
      </c>
      <c r="J24" s="193">
        <v>27.1</v>
      </c>
      <c r="K24" s="146">
        <f>G24*J24</f>
        <v>4.2276</v>
      </c>
      <c r="L24" s="173"/>
      <c r="M24" s="146">
        <f>G24*L24</f>
        <v>0</v>
      </c>
      <c r="N24" s="173">
        <f>I24+K24+M24</f>
        <v>4.2276</v>
      </c>
      <c r="O24"/>
      <c r="P24"/>
      <c r="Q24"/>
      <c r="R24" s="194">
        <v>0.0195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2:126" s="1" customFormat="1" ht="27">
      <c r="B25" s="217"/>
      <c r="C25" s="144" t="s">
        <v>120</v>
      </c>
      <c r="D25" s="145" t="s">
        <v>121</v>
      </c>
      <c r="E25" s="144" t="s">
        <v>122</v>
      </c>
      <c r="F25" s="144" t="s">
        <v>89</v>
      </c>
      <c r="G25" s="166">
        <f>G12*R25</f>
        <v>1.36</v>
      </c>
      <c r="H25" s="159"/>
      <c r="I25" s="146">
        <f>G25*H25</f>
        <v>0</v>
      </c>
      <c r="J25" s="195">
        <v>0.8</v>
      </c>
      <c r="K25" s="146">
        <f>G25*J25</f>
        <v>1.088</v>
      </c>
      <c r="L25" s="173"/>
      <c r="M25" s="146">
        <f>G25*L25</f>
        <v>0</v>
      </c>
      <c r="N25" s="173">
        <f>I25+K25+M25</f>
        <v>1.088</v>
      </c>
      <c r="O25"/>
      <c r="P25"/>
      <c r="Q25"/>
      <c r="R25" s="194">
        <v>0.17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2:14" ht="44.25" customHeight="1">
      <c r="B26" s="218"/>
      <c r="C26" s="144" t="s">
        <v>111</v>
      </c>
      <c r="D26" s="145" t="s">
        <v>112</v>
      </c>
      <c r="E26" s="144" t="s">
        <v>16</v>
      </c>
      <c r="F26" s="144" t="s">
        <v>89</v>
      </c>
      <c r="G26" s="197">
        <f>G12</f>
        <v>8</v>
      </c>
      <c r="H26" s="147">
        <v>0</v>
      </c>
      <c r="I26" s="147">
        <f>H26*G26</f>
        <v>0</v>
      </c>
      <c r="J26" s="159">
        <v>95</v>
      </c>
      <c r="K26" s="159">
        <f>J26*G26</f>
        <v>760</v>
      </c>
      <c r="L26" s="147">
        <v>0</v>
      </c>
      <c r="M26" s="147">
        <f>L26*G26</f>
        <v>0</v>
      </c>
      <c r="N26" s="159">
        <f>M26+K26+I26</f>
        <v>760</v>
      </c>
    </row>
    <row r="27" spans="2:14" ht="13.5" customHeight="1">
      <c r="B27" s="187"/>
      <c r="C27" s="200" t="s">
        <v>94</v>
      </c>
      <c r="D27" s="167" t="s">
        <v>66</v>
      </c>
      <c r="E27" s="200" t="s">
        <v>95</v>
      </c>
      <c r="F27" s="201">
        <v>11.7</v>
      </c>
      <c r="G27" s="191">
        <f>F27*G18</f>
        <v>13.912703999999998</v>
      </c>
      <c r="H27" s="168">
        <v>7.95</v>
      </c>
      <c r="I27" s="168">
        <f t="shared" si="0"/>
        <v>110.60599679999999</v>
      </c>
      <c r="J27" s="156"/>
      <c r="K27" s="156">
        <f t="shared" si="1"/>
        <v>0</v>
      </c>
      <c r="L27" s="168">
        <f>26.95-H27</f>
        <v>19</v>
      </c>
      <c r="M27" s="168">
        <f t="shared" si="2"/>
        <v>264.34137599999997</v>
      </c>
      <c r="N27" s="168">
        <f t="shared" si="3"/>
        <v>374.9473727999999</v>
      </c>
    </row>
    <row r="28" spans="2:14" ht="13.5" customHeight="1">
      <c r="B28" s="165"/>
      <c r="C28" s="144" t="s">
        <v>96</v>
      </c>
      <c r="D28" s="167" t="s">
        <v>97</v>
      </c>
      <c r="E28" s="140" t="s">
        <v>98</v>
      </c>
      <c r="F28" s="207">
        <v>2.5</v>
      </c>
      <c r="G28" s="168">
        <f>F28*G18</f>
        <v>2.9728</v>
      </c>
      <c r="H28" s="147">
        <v>0</v>
      </c>
      <c r="I28" s="147">
        <f t="shared" si="0"/>
        <v>0</v>
      </c>
      <c r="J28" s="140">
        <v>2.4</v>
      </c>
      <c r="K28" s="168">
        <f t="shared" si="1"/>
        <v>7.13472</v>
      </c>
      <c r="L28" s="147">
        <v>0</v>
      </c>
      <c r="M28" s="147">
        <f t="shared" si="2"/>
        <v>0</v>
      </c>
      <c r="N28" s="168">
        <f t="shared" si="3"/>
        <v>7.13472</v>
      </c>
    </row>
    <row r="29" spans="2:14" ht="14.25" customHeight="1" thickBot="1">
      <c r="B29" s="169"/>
      <c r="C29" s="170"/>
      <c r="D29" s="150" t="s">
        <v>24</v>
      </c>
      <c r="E29" s="149" t="s">
        <v>25</v>
      </c>
      <c r="F29" s="149">
        <v>2.2</v>
      </c>
      <c r="G29" s="151">
        <f>F29*G18</f>
        <v>2.616064</v>
      </c>
      <c r="H29" s="152">
        <v>0</v>
      </c>
      <c r="I29" s="152">
        <f t="shared" si="0"/>
        <v>0</v>
      </c>
      <c r="J29" s="149">
        <v>3.2</v>
      </c>
      <c r="K29" s="151">
        <f t="shared" si="1"/>
        <v>8.3714048</v>
      </c>
      <c r="L29" s="152">
        <v>0</v>
      </c>
      <c r="M29" s="152">
        <f t="shared" si="2"/>
        <v>0</v>
      </c>
      <c r="N29" s="151">
        <f t="shared" si="3"/>
        <v>8.3714048</v>
      </c>
    </row>
    <row r="30" spans="2:126" s="1" customFormat="1" ht="28.5" customHeight="1" thickTop="1">
      <c r="B30" s="155">
        <v>4</v>
      </c>
      <c r="C30" s="355" t="s">
        <v>99</v>
      </c>
      <c r="D30" s="171" t="s">
        <v>37</v>
      </c>
      <c r="E30" s="172" t="s">
        <v>100</v>
      </c>
      <c r="F30" s="172" t="s">
        <v>4</v>
      </c>
      <c r="G30" s="172">
        <f>G12*Q30</f>
        <v>0</v>
      </c>
      <c r="H30" s="141"/>
      <c r="I30" s="142"/>
      <c r="J30" s="142"/>
      <c r="K30" s="142"/>
      <c r="L30" s="142"/>
      <c r="M30" s="142"/>
      <c r="N30" s="14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2:126" s="1" customFormat="1" ht="17.25" customHeight="1">
      <c r="B31" s="8"/>
      <c r="C31" s="356"/>
      <c r="D31" s="145" t="s">
        <v>29</v>
      </c>
      <c r="E31" s="144" t="s">
        <v>28</v>
      </c>
      <c r="F31" s="144">
        <v>0.388</v>
      </c>
      <c r="G31" s="166">
        <f>G30*F31</f>
        <v>0</v>
      </c>
      <c r="H31" s="144">
        <v>3.2</v>
      </c>
      <c r="I31" s="146">
        <f>G31*H31</f>
        <v>0</v>
      </c>
      <c r="J31" s="147">
        <v>0</v>
      </c>
      <c r="K31" s="147">
        <f>G31*J31</f>
        <v>0</v>
      </c>
      <c r="L31" s="147">
        <v>0</v>
      </c>
      <c r="M31" s="147">
        <f>G31*L31</f>
        <v>0</v>
      </c>
      <c r="N31" s="173">
        <f>I31+K31+M31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7.25" customHeight="1" thickBot="1">
      <c r="B32" s="160"/>
      <c r="C32" s="174" t="s">
        <v>101</v>
      </c>
      <c r="D32" s="175" t="s">
        <v>102</v>
      </c>
      <c r="E32" s="176" t="s">
        <v>5</v>
      </c>
      <c r="F32" s="177">
        <v>0.25</v>
      </c>
      <c r="G32" s="196">
        <f>G30*F32</f>
        <v>0</v>
      </c>
      <c r="H32" s="152">
        <v>0</v>
      </c>
      <c r="I32" s="152">
        <f>G32*H32</f>
        <v>0</v>
      </c>
      <c r="J32" s="178">
        <v>15</v>
      </c>
      <c r="K32" s="154">
        <f>G32*J32</f>
        <v>0</v>
      </c>
      <c r="L32" s="152">
        <v>0</v>
      </c>
      <c r="M32" s="152">
        <f>G32*L32</f>
        <v>0</v>
      </c>
      <c r="N32" s="161">
        <f>I32+K32+M32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8" ht="27.75" thickTop="1">
      <c r="B33" s="179">
        <v>5</v>
      </c>
      <c r="C33" s="352" t="s">
        <v>104</v>
      </c>
      <c r="D33" s="209" t="s">
        <v>126</v>
      </c>
      <c r="E33" s="164"/>
      <c r="F33" s="164"/>
      <c r="G33" s="198">
        <f>G38+G37</f>
        <v>244.8</v>
      </c>
      <c r="H33" s="181"/>
      <c r="I33" s="182"/>
      <c r="J33" s="182"/>
      <c r="K33" s="182"/>
      <c r="L33" s="182"/>
      <c r="M33" s="182"/>
      <c r="N33" s="183"/>
      <c r="R33">
        <f>G33/1000*34.4*4.6</f>
        <v>38.737151999999995</v>
      </c>
    </row>
    <row r="34" spans="2:14" ht="15.75">
      <c r="B34" s="179"/>
      <c r="C34" s="354"/>
      <c r="D34" s="145" t="s">
        <v>105</v>
      </c>
      <c r="E34" s="144" t="s">
        <v>106</v>
      </c>
      <c r="F34" s="144">
        <v>0.0193</v>
      </c>
      <c r="G34" s="166">
        <f>F34*G33</f>
        <v>4.724640000000001</v>
      </c>
      <c r="H34" s="144">
        <v>4.6</v>
      </c>
      <c r="I34" s="159">
        <f>H34*G34</f>
        <v>21.733344000000002</v>
      </c>
      <c r="J34" s="147">
        <v>0</v>
      </c>
      <c r="K34" s="147">
        <f>J34*G34</f>
        <v>0</v>
      </c>
      <c r="L34" s="147">
        <v>0</v>
      </c>
      <c r="M34" s="147">
        <f>L34*G34</f>
        <v>0</v>
      </c>
      <c r="N34" s="159">
        <f>M34+K34+I34</f>
        <v>21.733344000000002</v>
      </c>
    </row>
    <row r="35" spans="2:14" ht="15.75" customHeight="1">
      <c r="B35" s="179"/>
      <c r="C35" s="184" t="s">
        <v>107</v>
      </c>
      <c r="D35" s="145" t="s">
        <v>24</v>
      </c>
      <c r="E35" s="144" t="s">
        <v>25</v>
      </c>
      <c r="F35" s="144">
        <v>0.00242</v>
      </c>
      <c r="G35" s="166">
        <f>F35*G33</f>
        <v>0.5924159999999999</v>
      </c>
      <c r="H35" s="147">
        <v>0</v>
      </c>
      <c r="I35" s="147">
        <f aca="true" t="shared" si="4" ref="I35:I41">H35*G35</f>
        <v>0</v>
      </c>
      <c r="J35" s="147">
        <v>0</v>
      </c>
      <c r="K35" s="147">
        <f aca="true" t="shared" si="5" ref="K35:K41">J35*G35</f>
        <v>0</v>
      </c>
      <c r="L35" s="144">
        <v>3.2</v>
      </c>
      <c r="M35" s="159">
        <f aca="true" t="shared" si="6" ref="M35:M41">L35*G35</f>
        <v>1.8957312</v>
      </c>
      <c r="N35" s="159">
        <f aca="true" t="shared" si="7" ref="N35:N41">M35+K35+I35</f>
        <v>1.8957312</v>
      </c>
    </row>
    <row r="36" spans="2:14" ht="15.75" customHeight="1">
      <c r="B36" s="179"/>
      <c r="C36" s="185" t="s">
        <v>108</v>
      </c>
      <c r="D36" s="145" t="s">
        <v>109</v>
      </c>
      <c r="E36" s="144" t="s">
        <v>110</v>
      </c>
      <c r="F36" s="144">
        <f>F34</f>
        <v>0.0193</v>
      </c>
      <c r="G36" s="166">
        <f>F36*G33</f>
        <v>4.724640000000001</v>
      </c>
      <c r="H36" s="159">
        <v>7.51</v>
      </c>
      <c r="I36" s="159">
        <f t="shared" si="4"/>
        <v>35.48204640000001</v>
      </c>
      <c r="J36" s="147">
        <v>0</v>
      </c>
      <c r="K36" s="147">
        <f t="shared" si="5"/>
        <v>0</v>
      </c>
      <c r="L36" s="159">
        <f>25.61-H36</f>
        <v>18.1</v>
      </c>
      <c r="M36" s="159">
        <f t="shared" si="6"/>
        <v>85.51598400000002</v>
      </c>
      <c r="N36" s="159">
        <f t="shared" si="7"/>
        <v>120.99803040000003</v>
      </c>
    </row>
    <row r="37" spans="2:14" ht="15.75" customHeight="1">
      <c r="B37" s="179"/>
      <c r="C37" s="180" t="s">
        <v>130</v>
      </c>
      <c r="D37" s="199" t="s">
        <v>127</v>
      </c>
      <c r="E37" s="144" t="s">
        <v>103</v>
      </c>
      <c r="F37" s="144" t="s">
        <v>89</v>
      </c>
      <c r="G37" s="159">
        <f>G12*30*1.02-20</f>
        <v>224.8</v>
      </c>
      <c r="H37" s="147">
        <v>0</v>
      </c>
      <c r="I37" s="147">
        <f t="shared" si="4"/>
        <v>0</v>
      </c>
      <c r="J37" s="186">
        <v>1.9</v>
      </c>
      <c r="K37" s="159">
        <f t="shared" si="5"/>
        <v>427.12</v>
      </c>
      <c r="L37" s="147">
        <v>0</v>
      </c>
      <c r="M37" s="147">
        <f t="shared" si="6"/>
        <v>0</v>
      </c>
      <c r="N37" s="159">
        <f t="shared" si="7"/>
        <v>427.12</v>
      </c>
    </row>
    <row r="38" spans="2:17" ht="15.75" customHeight="1">
      <c r="B38" s="179"/>
      <c r="C38" s="205" t="s">
        <v>129</v>
      </c>
      <c r="D38" s="199" t="s">
        <v>128</v>
      </c>
      <c r="E38" s="144" t="s">
        <v>103</v>
      </c>
      <c r="F38" s="144" t="s">
        <v>89</v>
      </c>
      <c r="G38" s="159">
        <f>G12*Q38</f>
        <v>20</v>
      </c>
      <c r="H38" s="147">
        <v>0</v>
      </c>
      <c r="I38" s="147">
        <f t="shared" si="4"/>
        <v>0</v>
      </c>
      <c r="J38" s="188">
        <v>1.01</v>
      </c>
      <c r="K38" s="159">
        <f t="shared" si="5"/>
        <v>20.2</v>
      </c>
      <c r="L38" s="147">
        <v>0</v>
      </c>
      <c r="M38" s="147">
        <f t="shared" si="6"/>
        <v>0</v>
      </c>
      <c r="N38" s="159">
        <f t="shared" si="7"/>
        <v>20.2</v>
      </c>
      <c r="Q38">
        <v>2.5</v>
      </c>
    </row>
    <row r="39" spans="2:17" ht="15.75" customHeight="1">
      <c r="B39" s="179"/>
      <c r="C39" s="180"/>
      <c r="D39" s="145" t="s">
        <v>70</v>
      </c>
      <c r="E39" s="144" t="s">
        <v>16</v>
      </c>
      <c r="F39" s="144" t="s">
        <v>89</v>
      </c>
      <c r="G39" s="197">
        <f>Q39*G26</f>
        <v>16</v>
      </c>
      <c r="H39" s="147">
        <v>0</v>
      </c>
      <c r="I39" s="147">
        <f t="shared" si="4"/>
        <v>0</v>
      </c>
      <c r="J39" s="186">
        <v>4.65</v>
      </c>
      <c r="K39" s="159">
        <f t="shared" si="5"/>
        <v>74.4</v>
      </c>
      <c r="L39" s="147">
        <v>0</v>
      </c>
      <c r="M39" s="147">
        <f t="shared" si="6"/>
        <v>0</v>
      </c>
      <c r="N39" s="159">
        <f t="shared" si="7"/>
        <v>74.4</v>
      </c>
      <c r="Q39">
        <v>2</v>
      </c>
    </row>
    <row r="40" spans="2:17" ht="15.75" customHeight="1">
      <c r="B40" s="179"/>
      <c r="C40" s="180"/>
      <c r="D40" s="145" t="s">
        <v>39</v>
      </c>
      <c r="E40" s="144" t="s">
        <v>16</v>
      </c>
      <c r="F40" s="144" t="s">
        <v>89</v>
      </c>
      <c r="G40" s="197">
        <f>Q40*G26</f>
        <v>8</v>
      </c>
      <c r="H40" s="147">
        <v>0</v>
      </c>
      <c r="I40" s="147">
        <f t="shared" si="4"/>
        <v>0</v>
      </c>
      <c r="J40" s="186">
        <v>6.35</v>
      </c>
      <c r="K40" s="159">
        <f t="shared" si="5"/>
        <v>50.8</v>
      </c>
      <c r="L40" s="147">
        <v>0</v>
      </c>
      <c r="M40" s="147">
        <f t="shared" si="6"/>
        <v>0</v>
      </c>
      <c r="N40" s="159">
        <f t="shared" si="7"/>
        <v>50.8</v>
      </c>
      <c r="Q40">
        <v>1</v>
      </c>
    </row>
    <row r="41" spans="2:14" ht="15.75" customHeight="1" thickBot="1">
      <c r="B41" s="179"/>
      <c r="C41" s="180"/>
      <c r="D41" s="145" t="s">
        <v>40</v>
      </c>
      <c r="E41" s="144" t="s">
        <v>16</v>
      </c>
      <c r="F41" s="144" t="s">
        <v>89</v>
      </c>
      <c r="G41" s="197">
        <v>2</v>
      </c>
      <c r="H41" s="152">
        <v>0</v>
      </c>
      <c r="I41" s="152">
        <f t="shared" si="4"/>
        <v>0</v>
      </c>
      <c r="J41" s="203">
        <v>5.5</v>
      </c>
      <c r="K41" s="151">
        <f t="shared" si="5"/>
        <v>11</v>
      </c>
      <c r="L41" s="152">
        <v>0</v>
      </c>
      <c r="M41" s="152">
        <f t="shared" si="6"/>
        <v>0</v>
      </c>
      <c r="N41" s="151">
        <f t="shared" si="7"/>
        <v>11</v>
      </c>
    </row>
    <row r="42" spans="2:127" s="1" customFormat="1" ht="14.25" thickTop="1">
      <c r="B42" s="357" t="s">
        <v>41</v>
      </c>
      <c r="C42" s="358"/>
      <c r="D42" s="358"/>
      <c r="E42" s="358"/>
      <c r="F42" s="358"/>
      <c r="G42" s="359"/>
      <c r="H42" s="210"/>
      <c r="I42" s="189">
        <f>SUM(I13:I41)</f>
        <v>553.7400432000001</v>
      </c>
      <c r="J42" s="189"/>
      <c r="K42" s="189">
        <f>SUM(K13:K41)</f>
        <v>3555.5697248000006</v>
      </c>
      <c r="L42" s="189"/>
      <c r="M42" s="189">
        <f>SUM(M13:M41)</f>
        <v>436.49871551999996</v>
      </c>
      <c r="N42" s="189">
        <f>SUM(N13:N41)</f>
        <v>4545.80848352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2:127" s="1" customFormat="1" ht="13.5">
      <c r="B43" s="360" t="s">
        <v>124</v>
      </c>
      <c r="C43" s="360"/>
      <c r="D43" s="360"/>
      <c r="E43" s="360"/>
      <c r="F43" s="360"/>
      <c r="G43" s="360"/>
      <c r="H43" s="211">
        <v>0.03</v>
      </c>
      <c r="I43" s="190"/>
      <c r="J43" s="190"/>
      <c r="K43" s="190">
        <f>K42*H43</f>
        <v>106.66709174400002</v>
      </c>
      <c r="L43" s="190"/>
      <c r="M43" s="190"/>
      <c r="N43" s="190">
        <f>K43</f>
        <v>106.66709174400002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2:127" s="1" customFormat="1" ht="13.5">
      <c r="B44" s="361" t="s">
        <v>7</v>
      </c>
      <c r="C44" s="361"/>
      <c r="D44" s="361"/>
      <c r="E44" s="361"/>
      <c r="F44" s="361"/>
      <c r="G44" s="361"/>
      <c r="H44" s="211"/>
      <c r="I44" s="190"/>
      <c r="J44" s="190"/>
      <c r="K44" s="190"/>
      <c r="L44" s="190"/>
      <c r="M44" s="190"/>
      <c r="N44" s="190">
        <f>SUM(N42:N43)</f>
        <v>4652.475575263999</v>
      </c>
      <c r="O44"/>
      <c r="P44" t="s">
        <v>58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2:127" s="1" customFormat="1" ht="13.5">
      <c r="B45" s="360" t="s">
        <v>113</v>
      </c>
      <c r="C45" s="360"/>
      <c r="D45" s="360"/>
      <c r="E45" s="360"/>
      <c r="F45" s="360"/>
      <c r="G45" s="360"/>
      <c r="H45" s="211">
        <v>0.1</v>
      </c>
      <c r="I45" s="190"/>
      <c r="J45" s="190"/>
      <c r="K45" s="190"/>
      <c r="L45" s="190"/>
      <c r="M45" s="190"/>
      <c r="N45" s="190">
        <f>N44*H45</f>
        <v>465.2475575264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2:127" s="1" customFormat="1" ht="13.5">
      <c r="B46" s="361" t="s">
        <v>7</v>
      </c>
      <c r="C46" s="361"/>
      <c r="D46" s="361"/>
      <c r="E46" s="361"/>
      <c r="F46" s="361"/>
      <c r="G46" s="361"/>
      <c r="I46" s="190"/>
      <c r="J46" s="190"/>
      <c r="K46" s="190"/>
      <c r="L46" s="190"/>
      <c r="M46" s="190"/>
      <c r="N46" s="190">
        <f>SUM(N44:N45)</f>
        <v>5117.723132790399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2:127" s="1" customFormat="1" ht="13.5">
      <c r="B47" s="360" t="s">
        <v>114</v>
      </c>
      <c r="C47" s="360"/>
      <c r="D47" s="360"/>
      <c r="E47" s="360"/>
      <c r="F47" s="360"/>
      <c r="G47" s="360"/>
      <c r="H47" s="211">
        <v>0.08</v>
      </c>
      <c r="I47" s="190"/>
      <c r="J47" s="190"/>
      <c r="K47" s="190"/>
      <c r="L47" s="190"/>
      <c r="M47" s="190"/>
      <c r="N47" s="190">
        <f>N46*H47</f>
        <v>409.41785062323197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2:127" s="1" customFormat="1" ht="13.5">
      <c r="B48" s="361" t="s">
        <v>7</v>
      </c>
      <c r="C48" s="361"/>
      <c r="D48" s="361"/>
      <c r="E48" s="361"/>
      <c r="F48" s="361"/>
      <c r="G48" s="361"/>
      <c r="H48" s="211"/>
      <c r="I48" s="190"/>
      <c r="J48" s="190"/>
      <c r="K48" s="190"/>
      <c r="L48" s="190"/>
      <c r="M48" s="190"/>
      <c r="N48" s="190">
        <f>SUM(N46:N47)</f>
        <v>5527.140983413631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2:127" s="1" customFormat="1" ht="13.5">
      <c r="B49" s="360" t="s">
        <v>115</v>
      </c>
      <c r="C49" s="360"/>
      <c r="D49" s="360"/>
      <c r="E49" s="360"/>
      <c r="F49" s="360"/>
      <c r="G49" s="360"/>
      <c r="H49" s="211">
        <v>0.03</v>
      </c>
      <c r="I49" s="190"/>
      <c r="J49" s="190"/>
      <c r="K49" s="190"/>
      <c r="L49" s="190"/>
      <c r="M49" s="190"/>
      <c r="N49" s="190">
        <f>N48*H49</f>
        <v>165.81422950240892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3.5">
      <c r="B50" s="361" t="s">
        <v>7</v>
      </c>
      <c r="C50" s="361"/>
      <c r="D50" s="361"/>
      <c r="E50" s="361"/>
      <c r="F50" s="361"/>
      <c r="G50" s="361"/>
      <c r="H50" s="211"/>
      <c r="I50" s="190"/>
      <c r="J50" s="190"/>
      <c r="K50" s="190"/>
      <c r="L50" s="190"/>
      <c r="M50" s="190"/>
      <c r="N50" s="190">
        <f>SUM(N48:N49)</f>
        <v>5692.95521291604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3.5">
      <c r="B51" s="360" t="s">
        <v>116</v>
      </c>
      <c r="C51" s="360"/>
      <c r="D51" s="360"/>
      <c r="E51" s="360"/>
      <c r="F51" s="360"/>
      <c r="G51" s="360"/>
      <c r="H51" s="211">
        <v>0.18</v>
      </c>
      <c r="I51" s="190"/>
      <c r="J51" s="190"/>
      <c r="K51" s="190"/>
      <c r="L51" s="190"/>
      <c r="M51" s="190"/>
      <c r="N51" s="190">
        <f>N50*H51</f>
        <v>1024.731938324887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3.5">
      <c r="B52" s="361" t="s">
        <v>21</v>
      </c>
      <c r="C52" s="361"/>
      <c r="D52" s="361"/>
      <c r="E52" s="361"/>
      <c r="F52" s="361"/>
      <c r="G52" s="361"/>
      <c r="H52" s="212"/>
      <c r="I52" s="190"/>
      <c r="J52" s="190"/>
      <c r="K52" s="190"/>
      <c r="L52" s="190"/>
      <c r="M52" s="190"/>
      <c r="N52" s="256">
        <f>SUM(N50:N51)</f>
        <v>6717.687151240927</v>
      </c>
      <c r="O52"/>
      <c r="P52"/>
      <c r="Q52" s="202">
        <f>N52/G12</f>
        <v>839.7108939051159</v>
      </c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6:127" s="1" customFormat="1" ht="21">
      <c r="F53" s="45"/>
      <c r="O53"/>
      <c r="P53"/>
      <c r="Q53"/>
      <c r="R53"/>
      <c r="S53"/>
      <c r="T53" s="204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2:127" s="1" customFormat="1" ht="21">
      <c r="B54" s="45" t="s">
        <v>59</v>
      </c>
      <c r="C54" s="45"/>
      <c r="D54" s="45"/>
      <c r="E54" s="45"/>
      <c r="F54" s="45"/>
      <c r="G54" s="2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2:127" s="1" customFormat="1" ht="21">
      <c r="B55" s="45"/>
      <c r="C55" s="2"/>
      <c r="D55" s="2"/>
      <c r="E55" s="2"/>
      <c r="F55" s="49"/>
      <c r="G55" s="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2:127" s="1" customFormat="1" ht="21">
      <c r="B56" s="2"/>
      <c r="C56" s="45" t="s">
        <v>49</v>
      </c>
      <c r="D56" s="45"/>
      <c r="E56" s="45"/>
      <c r="F56" s="2"/>
      <c r="G56" s="2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6:127" s="1" customFormat="1" ht="13.5">
      <c r="F57" s="2"/>
      <c r="G57" s="2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</sheetData>
  <sheetProtection/>
  <mergeCells count="41">
    <mergeCell ref="B51:G51"/>
    <mergeCell ref="B52:G52"/>
    <mergeCell ref="B45:G45"/>
    <mergeCell ref="B46:G46"/>
    <mergeCell ref="B47:G47"/>
    <mergeCell ref="B48:G48"/>
    <mergeCell ref="B49:G49"/>
    <mergeCell ref="B50:G50"/>
    <mergeCell ref="C15:C16"/>
    <mergeCell ref="C18:C20"/>
    <mergeCell ref="C30:C31"/>
    <mergeCell ref="B42:G42"/>
    <mergeCell ref="B43:G43"/>
    <mergeCell ref="B44:G44"/>
    <mergeCell ref="C33:C34"/>
    <mergeCell ref="J8:K8"/>
    <mergeCell ref="L8:M8"/>
    <mergeCell ref="N8:N10"/>
    <mergeCell ref="H9:H10"/>
    <mergeCell ref="I9:I10"/>
    <mergeCell ref="J9:J10"/>
    <mergeCell ref="K9:K10"/>
    <mergeCell ref="L9:L10"/>
    <mergeCell ref="M9:M10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B1:N1"/>
    <mergeCell ref="B2:N2"/>
    <mergeCell ref="C3:D3"/>
    <mergeCell ref="E3:F3"/>
    <mergeCell ref="H3:J3"/>
    <mergeCell ref="C4:D4"/>
    <mergeCell ref="E4:F4"/>
  </mergeCells>
  <printOptions/>
  <pageMargins left="0.7086614173228347" right="0.16" top="0.31" bottom="0.3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DW65"/>
  <sheetViews>
    <sheetView zoomScalePageLayoutView="0" workbookViewId="0" topLeftCell="A41">
      <selection activeCell="A14" sqref="A1:IV16384"/>
    </sheetView>
  </sheetViews>
  <sheetFormatPr defaultColWidth="9.00390625" defaultRowHeight="12.75"/>
  <cols>
    <col min="1" max="1" width="0.6171875" style="0" customWidth="1"/>
    <col min="2" max="2" width="3.625" style="0" customWidth="1"/>
    <col min="3" max="3" width="10.375" style="0" customWidth="1"/>
    <col min="4" max="4" width="42.625" style="130" customWidth="1"/>
    <col min="5" max="5" width="7.375" style="0" customWidth="1"/>
    <col min="6" max="6" width="7.125" style="0" customWidth="1"/>
    <col min="7" max="7" width="8.375" style="0" customWidth="1"/>
    <col min="8" max="8" width="7.625" style="0" customWidth="1"/>
    <col min="9" max="9" width="8.375" style="0" customWidth="1"/>
    <col min="10" max="10" width="7.75390625" style="0" customWidth="1"/>
    <col min="11" max="11" width="9.875" style="0" customWidth="1"/>
    <col min="12" max="12" width="8.00390625" style="0" customWidth="1"/>
    <col min="13" max="13" width="8.375" style="0" customWidth="1"/>
    <col min="14" max="14" width="9.625" style="0" bestFit="1" customWidth="1"/>
    <col min="15" max="15" width="0.6171875" style="0" customWidth="1"/>
    <col min="19" max="19" width="11.25390625" style="0" customWidth="1"/>
  </cols>
  <sheetData>
    <row r="1" spans="2:126" s="131" customFormat="1" ht="27.75" customHeight="1">
      <c r="B1" s="330" t="s">
        <v>123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128"/>
      <c r="P1" s="128"/>
      <c r="Q1" s="128"/>
      <c r="R1" s="129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</row>
    <row r="2" spans="2:126" s="131" customFormat="1" ht="18" customHeight="1">
      <c r="B2" s="331" t="s">
        <v>48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</row>
    <row r="3" spans="2:126" s="131" customFormat="1" ht="21.75" customHeight="1">
      <c r="B3" s="132"/>
      <c r="C3" s="332" t="s">
        <v>17</v>
      </c>
      <c r="D3" s="332"/>
      <c r="E3" s="371">
        <f>N59</f>
        <v>6911.5481180955985</v>
      </c>
      <c r="F3" s="371"/>
      <c r="G3" s="133" t="s">
        <v>25</v>
      </c>
      <c r="H3" s="334" t="s">
        <v>19</v>
      </c>
      <c r="I3" s="334"/>
      <c r="J3" s="334"/>
      <c r="K3" s="134"/>
      <c r="L3" s="134"/>
      <c r="M3" s="134"/>
      <c r="N3" s="134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</row>
    <row r="4" spans="2:126" s="131" customFormat="1" ht="20.25" customHeight="1">
      <c r="B4" s="132"/>
      <c r="C4" s="332"/>
      <c r="D4" s="332"/>
      <c r="E4" s="335"/>
      <c r="F4" s="335"/>
      <c r="G4" s="133"/>
      <c r="H4" s="133"/>
      <c r="I4" s="219"/>
      <c r="J4" s="136"/>
      <c r="K4" s="134"/>
      <c r="L4" s="134"/>
      <c r="M4" s="134"/>
      <c r="N4" s="134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</row>
    <row r="5" spans="2:126" s="131" customFormat="1" ht="22.5" customHeight="1">
      <c r="B5" s="368" t="s">
        <v>135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</row>
    <row r="6" spans="2:126" s="2" customFormat="1" ht="6" customHeight="1">
      <c r="B6" s="137"/>
      <c r="C6" s="137"/>
      <c r="D6" s="221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2:126" s="1" customFormat="1" ht="20.25" customHeight="1">
      <c r="B7" s="337" t="s">
        <v>0</v>
      </c>
      <c r="C7" s="340" t="s">
        <v>9</v>
      </c>
      <c r="D7" s="369" t="s">
        <v>1</v>
      </c>
      <c r="E7" s="340" t="s">
        <v>132</v>
      </c>
      <c r="F7" s="347" t="s">
        <v>2</v>
      </c>
      <c r="G7" s="347"/>
      <c r="H7" s="348" t="s">
        <v>30</v>
      </c>
      <c r="I7" s="348"/>
      <c r="J7" s="348"/>
      <c r="K7" s="348"/>
      <c r="L7" s="348"/>
      <c r="M7" s="348"/>
      <c r="N7" s="34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</row>
    <row r="8" spans="2:126" s="1" customFormat="1" ht="18.75" customHeight="1">
      <c r="B8" s="338"/>
      <c r="C8" s="341"/>
      <c r="D8" s="370"/>
      <c r="E8" s="341"/>
      <c r="F8" s="341" t="s">
        <v>12</v>
      </c>
      <c r="G8" s="341" t="s">
        <v>10</v>
      </c>
      <c r="H8" s="349" t="s">
        <v>13</v>
      </c>
      <c r="I8" s="349"/>
      <c r="J8" s="349" t="s">
        <v>14</v>
      </c>
      <c r="K8" s="349"/>
      <c r="L8" s="349" t="s">
        <v>15</v>
      </c>
      <c r="M8" s="349"/>
      <c r="N8" s="349" t="s">
        <v>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</row>
    <row r="9" spans="2:126" s="1" customFormat="1" ht="20.25" customHeight="1">
      <c r="B9" s="338"/>
      <c r="C9" s="341"/>
      <c r="D9" s="370"/>
      <c r="E9" s="341"/>
      <c r="F9" s="341"/>
      <c r="G9" s="341"/>
      <c r="H9" s="344" t="s">
        <v>18</v>
      </c>
      <c r="I9" s="349" t="s">
        <v>3</v>
      </c>
      <c r="J9" s="344" t="s">
        <v>18</v>
      </c>
      <c r="K9" s="349" t="s">
        <v>3</v>
      </c>
      <c r="L9" s="344" t="s">
        <v>18</v>
      </c>
      <c r="M9" s="349" t="s">
        <v>3</v>
      </c>
      <c r="N9" s="34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</row>
    <row r="10" spans="2:126" s="1" customFormat="1" ht="42.75" customHeight="1">
      <c r="B10" s="339"/>
      <c r="C10" s="341"/>
      <c r="D10" s="370"/>
      <c r="E10" s="341"/>
      <c r="F10" s="341"/>
      <c r="G10" s="341"/>
      <c r="H10" s="340"/>
      <c r="I10" s="349"/>
      <c r="J10" s="340"/>
      <c r="K10" s="349"/>
      <c r="L10" s="340"/>
      <c r="M10" s="349"/>
      <c r="N10" s="349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</row>
    <row r="11" spans="2:126" s="1" customFormat="1" ht="14.25" thickBot="1">
      <c r="B11" s="138">
        <v>1</v>
      </c>
      <c r="C11" s="138">
        <v>2</v>
      </c>
      <c r="D11" s="222">
        <v>3</v>
      </c>
      <c r="E11" s="138">
        <v>4</v>
      </c>
      <c r="F11" s="138">
        <v>5</v>
      </c>
      <c r="G11" s="138">
        <v>6</v>
      </c>
      <c r="H11" s="138">
        <v>7</v>
      </c>
      <c r="I11" s="138">
        <v>8</v>
      </c>
      <c r="J11" s="138">
        <v>9</v>
      </c>
      <c r="K11" s="138">
        <v>10</v>
      </c>
      <c r="L11" s="138">
        <v>11</v>
      </c>
      <c r="M11" s="138">
        <v>12</v>
      </c>
      <c r="N11" s="138">
        <v>13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2:126" s="1" customFormat="1" ht="41.25" thickTop="1">
      <c r="B12" s="10">
        <v>1</v>
      </c>
      <c r="C12" s="223" t="s">
        <v>136</v>
      </c>
      <c r="D12" s="224" t="s">
        <v>137</v>
      </c>
      <c r="E12" s="208" t="s">
        <v>16</v>
      </c>
      <c r="F12" s="208"/>
      <c r="G12" s="208">
        <f>Q12</f>
        <v>8</v>
      </c>
      <c r="H12" s="141"/>
      <c r="I12" s="142"/>
      <c r="J12" s="142"/>
      <c r="K12" s="142"/>
      <c r="L12" s="142"/>
      <c r="M12" s="142"/>
      <c r="N12" s="143"/>
      <c r="O12"/>
      <c r="P12"/>
      <c r="Q12" s="225">
        <v>8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</row>
    <row r="13" spans="2:126" s="1" customFormat="1" ht="16.5" customHeight="1">
      <c r="B13" s="10"/>
      <c r="C13" s="144"/>
      <c r="D13" s="226" t="s">
        <v>161</v>
      </c>
      <c r="E13" s="144" t="s">
        <v>28</v>
      </c>
      <c r="F13" s="144">
        <f>4.05*1.15</f>
        <v>4.6575</v>
      </c>
      <c r="G13" s="166">
        <f>F13*G12</f>
        <v>37.26</v>
      </c>
      <c r="H13" s="144">
        <v>4.6</v>
      </c>
      <c r="I13" s="146">
        <f aca="true" t="shared" si="0" ref="I13:I19">H13*G13</f>
        <v>171.396</v>
      </c>
      <c r="J13" s="147">
        <v>0</v>
      </c>
      <c r="K13" s="147">
        <f aca="true" t="shared" si="1" ref="K13:K19">G13*J13</f>
        <v>0</v>
      </c>
      <c r="L13" s="147">
        <v>0</v>
      </c>
      <c r="M13" s="147">
        <f aca="true" t="shared" si="2" ref="M13:M19">L13*G13</f>
        <v>0</v>
      </c>
      <c r="N13" s="168">
        <f>M13+K13+I13</f>
        <v>171.396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</row>
    <row r="14" spans="2:126" s="1" customFormat="1" ht="16.5" customHeight="1">
      <c r="B14" s="227"/>
      <c r="C14" s="144" t="s">
        <v>61</v>
      </c>
      <c r="D14" s="226" t="s">
        <v>138</v>
      </c>
      <c r="E14" s="144" t="s">
        <v>27</v>
      </c>
      <c r="F14" s="144">
        <f>0.447*1.15</f>
        <v>0.51405</v>
      </c>
      <c r="G14" s="166">
        <f>F14*G12</f>
        <v>4.1124</v>
      </c>
      <c r="H14" s="159">
        <v>7.95</v>
      </c>
      <c r="I14" s="159">
        <f t="shared" si="0"/>
        <v>32.693580000000004</v>
      </c>
      <c r="J14" s="156">
        <v>0</v>
      </c>
      <c r="K14" s="156">
        <f>J14*G14</f>
        <v>0</v>
      </c>
      <c r="L14" s="168">
        <f>26.95-H14</f>
        <v>19</v>
      </c>
      <c r="M14" s="146">
        <f t="shared" si="2"/>
        <v>78.1356</v>
      </c>
      <c r="N14" s="168">
        <f>M14+K14+I14</f>
        <v>110.82918000000001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2:17" ht="16.5" customHeight="1">
      <c r="B15" s="227"/>
      <c r="C15" s="263" t="s">
        <v>162</v>
      </c>
      <c r="D15" s="226" t="s">
        <v>158</v>
      </c>
      <c r="E15" s="144" t="s">
        <v>27</v>
      </c>
      <c r="F15" s="144">
        <v>0.04</v>
      </c>
      <c r="G15" s="159">
        <f>F15*G12</f>
        <v>0.32</v>
      </c>
      <c r="H15" s="159">
        <v>7.14</v>
      </c>
      <c r="I15" s="159">
        <f>H15*G15</f>
        <v>2.2848</v>
      </c>
      <c r="J15" s="156">
        <v>0</v>
      </c>
      <c r="K15" s="156">
        <f>J15*G15</f>
        <v>0</v>
      </c>
      <c r="L15" s="168">
        <f>32.22-H15</f>
        <v>25.08</v>
      </c>
      <c r="M15" s="146">
        <f>L15*G15</f>
        <v>8.025599999999999</v>
      </c>
      <c r="N15" s="159">
        <f>M15+K15+I15</f>
        <v>10.3104</v>
      </c>
      <c r="Q15">
        <f>1/8</f>
        <v>0.125</v>
      </c>
    </row>
    <row r="16" spans="2:14" ht="16.5" customHeight="1" thickBot="1">
      <c r="B16" s="228"/>
      <c r="C16" s="229"/>
      <c r="D16" s="230" t="s">
        <v>24</v>
      </c>
      <c r="E16" s="231" t="s">
        <v>25</v>
      </c>
      <c r="F16" s="231">
        <v>0.214</v>
      </c>
      <c r="G16" s="232">
        <f>F16*G12</f>
        <v>1.712</v>
      </c>
      <c r="H16" s="233">
        <v>0</v>
      </c>
      <c r="I16" s="233">
        <f t="shared" si="0"/>
        <v>0</v>
      </c>
      <c r="J16" s="231">
        <v>3.2</v>
      </c>
      <c r="K16" s="232">
        <f>J16*G16</f>
        <v>5.478400000000001</v>
      </c>
      <c r="L16" s="233">
        <v>0</v>
      </c>
      <c r="M16" s="233">
        <f t="shared" si="2"/>
        <v>0</v>
      </c>
      <c r="N16" s="232">
        <f>M16+K16+I16</f>
        <v>5.478400000000001</v>
      </c>
    </row>
    <row r="17" spans="2:126" s="1" customFormat="1" ht="19.5" customHeight="1" thickTop="1">
      <c r="B17" s="155">
        <v>2</v>
      </c>
      <c r="C17" s="362" t="s">
        <v>139</v>
      </c>
      <c r="D17" s="224" t="s">
        <v>36</v>
      </c>
      <c r="E17" s="208" t="s">
        <v>131</v>
      </c>
      <c r="F17" s="208"/>
      <c r="G17" s="213">
        <f>G12*Q17</f>
        <v>1.57</v>
      </c>
      <c r="H17" s="214"/>
      <c r="I17" s="215"/>
      <c r="J17" s="215"/>
      <c r="K17" s="215"/>
      <c r="L17" s="215"/>
      <c r="M17" s="215"/>
      <c r="N17" s="216"/>
      <c r="O17"/>
      <c r="P17"/>
      <c r="Q17">
        <f>3.14*0.25*0.25*1</f>
        <v>0.19625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2:126" s="1" customFormat="1" ht="19.5" customHeight="1">
      <c r="B18" s="8"/>
      <c r="C18" s="363"/>
      <c r="D18" s="226" t="s">
        <v>29</v>
      </c>
      <c r="E18" s="144" t="s">
        <v>28</v>
      </c>
      <c r="F18" s="144">
        <v>1.96</v>
      </c>
      <c r="G18" s="166">
        <f>F18*G17</f>
        <v>3.0772</v>
      </c>
      <c r="H18" s="144">
        <v>4.6</v>
      </c>
      <c r="I18" s="146">
        <f t="shared" si="0"/>
        <v>14.155119999999998</v>
      </c>
      <c r="J18" s="147">
        <v>0</v>
      </c>
      <c r="K18" s="147">
        <f t="shared" si="1"/>
        <v>0</v>
      </c>
      <c r="L18" s="147">
        <v>0</v>
      </c>
      <c r="M18" s="147">
        <f t="shared" si="2"/>
        <v>0</v>
      </c>
      <c r="N18" s="168">
        <f>M18+K18+I18</f>
        <v>14.155119999999998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2:126" s="1" customFormat="1" ht="19.5" customHeight="1" thickBot="1">
      <c r="B19" s="160"/>
      <c r="C19" s="149" t="s">
        <v>81</v>
      </c>
      <c r="D19" s="234" t="s">
        <v>82</v>
      </c>
      <c r="E19" s="149" t="s">
        <v>83</v>
      </c>
      <c r="F19" s="149">
        <v>1.015</v>
      </c>
      <c r="G19" s="192">
        <f>F19*G17</f>
        <v>1.5935499999999998</v>
      </c>
      <c r="H19" s="152">
        <v>0</v>
      </c>
      <c r="I19" s="152">
        <f t="shared" si="0"/>
        <v>0</v>
      </c>
      <c r="J19" s="161">
        <v>110</v>
      </c>
      <c r="K19" s="154">
        <f t="shared" si="1"/>
        <v>175.29049999999998</v>
      </c>
      <c r="L19" s="152">
        <v>0</v>
      </c>
      <c r="M19" s="152">
        <f t="shared" si="2"/>
        <v>0</v>
      </c>
      <c r="N19" s="168">
        <f>M19+K19+I19</f>
        <v>175.29049999999998</v>
      </c>
      <c r="O19"/>
      <c r="P19" s="16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2:14" ht="30.75" customHeight="1" thickTop="1">
      <c r="B20" s="163">
        <v>3</v>
      </c>
      <c r="C20" s="352" t="s">
        <v>26</v>
      </c>
      <c r="D20" s="235" t="s">
        <v>159</v>
      </c>
      <c r="E20" s="164" t="s">
        <v>16</v>
      </c>
      <c r="F20" s="164"/>
      <c r="G20" s="236">
        <f>Q12</f>
        <v>8</v>
      </c>
      <c r="H20" s="141"/>
      <c r="I20" s="142"/>
      <c r="J20" s="142"/>
      <c r="K20" s="142"/>
      <c r="L20" s="142"/>
      <c r="M20" s="142"/>
      <c r="N20" s="143"/>
    </row>
    <row r="21" spans="2:126" s="1" customFormat="1" ht="15.75" customHeight="1">
      <c r="B21" s="165"/>
      <c r="C21" s="353"/>
      <c r="D21" s="226" t="s">
        <v>29</v>
      </c>
      <c r="E21" s="144" t="s">
        <v>85</v>
      </c>
      <c r="F21" s="144">
        <v>1</v>
      </c>
      <c r="G21" s="197">
        <f>F21*G20</f>
        <v>8</v>
      </c>
      <c r="H21" s="264">
        <v>18.2</v>
      </c>
      <c r="I21" s="146">
        <f>H21*G21</f>
        <v>145.6</v>
      </c>
      <c r="J21" s="147">
        <v>0</v>
      </c>
      <c r="K21" s="147">
        <f>G21*J21</f>
        <v>0</v>
      </c>
      <c r="L21" s="147">
        <v>0</v>
      </c>
      <c r="M21" s="147">
        <f>L21*G21</f>
        <v>0</v>
      </c>
      <c r="N21" s="168">
        <f>M21+K21+I21</f>
        <v>145.6</v>
      </c>
      <c r="O21"/>
      <c r="P21"/>
      <c r="Q21" s="202">
        <f>N21/G20*0.8</f>
        <v>14.56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2:17" ht="27">
      <c r="B22" s="165"/>
      <c r="C22" s="354"/>
      <c r="D22" s="237" t="s">
        <v>140</v>
      </c>
      <c r="E22" s="220" t="s">
        <v>25</v>
      </c>
      <c r="F22" s="220">
        <v>1</v>
      </c>
      <c r="G22" s="201">
        <f>F22*G20</f>
        <v>8</v>
      </c>
      <c r="H22" s="147">
        <v>0</v>
      </c>
      <c r="I22" s="147">
        <f>H22*G22</f>
        <v>0</v>
      </c>
      <c r="J22" s="147">
        <v>0</v>
      </c>
      <c r="K22" s="147">
        <f>J22*G22</f>
        <v>0</v>
      </c>
      <c r="L22" s="220">
        <v>3.2</v>
      </c>
      <c r="M22" s="168">
        <f>L22*G22</f>
        <v>25.6</v>
      </c>
      <c r="N22" s="168">
        <f>M22+K22+I22</f>
        <v>25.6</v>
      </c>
      <c r="Q22">
        <f>N22/G20</f>
        <v>3.2</v>
      </c>
    </row>
    <row r="23" spans="2:18" ht="19.5" customHeight="1">
      <c r="B23" s="165"/>
      <c r="C23" s="144" t="s">
        <v>86</v>
      </c>
      <c r="D23" s="226" t="s">
        <v>87</v>
      </c>
      <c r="E23" s="144" t="s">
        <v>88</v>
      </c>
      <c r="F23" s="144" t="s">
        <v>89</v>
      </c>
      <c r="G23" s="157">
        <f>G20*R23</f>
        <v>80</v>
      </c>
      <c r="H23" s="147">
        <v>0</v>
      </c>
      <c r="I23" s="147">
        <f>H23*G23</f>
        <v>0</v>
      </c>
      <c r="J23" s="159">
        <v>23.7</v>
      </c>
      <c r="K23" s="159">
        <f>J23*G23</f>
        <v>1896</v>
      </c>
      <c r="L23" s="147">
        <v>0</v>
      </c>
      <c r="M23" s="147">
        <f>L23*G23</f>
        <v>0</v>
      </c>
      <c r="N23" s="159">
        <f>M23+K23+I23</f>
        <v>1896</v>
      </c>
      <c r="Q23">
        <f>SUM(Q20:Q22)</f>
        <v>17.76</v>
      </c>
      <c r="R23" s="238">
        <v>10</v>
      </c>
    </row>
    <row r="24" spans="2:18" ht="19.5" customHeight="1">
      <c r="B24" s="165"/>
      <c r="C24" s="144" t="s">
        <v>90</v>
      </c>
      <c r="D24" s="226" t="s">
        <v>91</v>
      </c>
      <c r="E24" s="144" t="s">
        <v>88</v>
      </c>
      <c r="F24" s="144" t="s">
        <v>89</v>
      </c>
      <c r="G24" s="157">
        <f>G20*R24</f>
        <v>16</v>
      </c>
      <c r="H24" s="147">
        <v>0</v>
      </c>
      <c r="I24" s="147">
        <f>H24*G24</f>
        <v>0</v>
      </c>
      <c r="J24" s="159">
        <v>6.5</v>
      </c>
      <c r="K24" s="159">
        <f>J24*G24</f>
        <v>104</v>
      </c>
      <c r="L24" s="147">
        <v>0</v>
      </c>
      <c r="M24" s="147">
        <f>L24*G24</f>
        <v>0</v>
      </c>
      <c r="N24" s="159">
        <f>M24+K24+I24</f>
        <v>104</v>
      </c>
      <c r="R24" s="238">
        <v>2</v>
      </c>
    </row>
    <row r="25" spans="2:18" ht="19.5" customHeight="1">
      <c r="B25" s="165"/>
      <c r="C25" s="144" t="s">
        <v>92</v>
      </c>
      <c r="D25" s="226" t="s">
        <v>141</v>
      </c>
      <c r="E25" s="144" t="s">
        <v>88</v>
      </c>
      <c r="F25" s="144" t="s">
        <v>89</v>
      </c>
      <c r="G25" s="144">
        <f>G20*R25</f>
        <v>1.6</v>
      </c>
      <c r="H25" s="147">
        <v>0</v>
      </c>
      <c r="I25" s="147">
        <f>H25*G25</f>
        <v>0</v>
      </c>
      <c r="J25" s="159">
        <v>5.3</v>
      </c>
      <c r="K25" s="159">
        <f>J25*G25</f>
        <v>8.48</v>
      </c>
      <c r="L25" s="147">
        <v>0</v>
      </c>
      <c r="M25" s="147">
        <f>L25*G25</f>
        <v>0</v>
      </c>
      <c r="N25" s="159">
        <f>M25+K25+I25</f>
        <v>8.48</v>
      </c>
      <c r="R25" s="239">
        <v>0.2</v>
      </c>
    </row>
    <row r="26" spans="2:126" s="1" customFormat="1" ht="28.5" customHeight="1">
      <c r="B26" s="240"/>
      <c r="C26" s="144" t="s">
        <v>117</v>
      </c>
      <c r="D26" s="226" t="s">
        <v>118</v>
      </c>
      <c r="E26" s="144" t="s">
        <v>119</v>
      </c>
      <c r="F26" s="144" t="s">
        <v>89</v>
      </c>
      <c r="G26" s="166">
        <f>G20*R26</f>
        <v>0.15896</v>
      </c>
      <c r="H26" s="147">
        <v>0</v>
      </c>
      <c r="I26" s="147">
        <f>G26*H26</f>
        <v>0</v>
      </c>
      <c r="J26" s="193">
        <v>27.1</v>
      </c>
      <c r="K26" s="146">
        <f>G26*J26</f>
        <v>4.307816</v>
      </c>
      <c r="L26" s="147">
        <v>0</v>
      </c>
      <c r="M26" s="147">
        <f>G26*L26</f>
        <v>0</v>
      </c>
      <c r="N26" s="146">
        <f>I26+K26+M26</f>
        <v>4.307816</v>
      </c>
      <c r="O26"/>
      <c r="P26"/>
      <c r="Q26"/>
      <c r="R26" s="239">
        <v>0.01987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2:126" s="1" customFormat="1" ht="27">
      <c r="B27" s="265"/>
      <c r="C27" s="144" t="s">
        <v>120</v>
      </c>
      <c r="D27" s="226" t="s">
        <v>121</v>
      </c>
      <c r="E27" s="144" t="s">
        <v>122</v>
      </c>
      <c r="F27" s="144" t="s">
        <v>89</v>
      </c>
      <c r="G27" s="166">
        <f>G20*R27</f>
        <v>1.44</v>
      </c>
      <c r="H27" s="147">
        <v>0</v>
      </c>
      <c r="I27" s="147">
        <f>G27*H27</f>
        <v>0</v>
      </c>
      <c r="J27" s="195">
        <v>0.8</v>
      </c>
      <c r="K27" s="146">
        <f>G27*J27</f>
        <v>1.152</v>
      </c>
      <c r="L27" s="147">
        <v>0</v>
      </c>
      <c r="M27" s="147">
        <f>G27*L27</f>
        <v>0</v>
      </c>
      <c r="N27" s="146">
        <f>I27+K27+M27</f>
        <v>1.152</v>
      </c>
      <c r="O27"/>
      <c r="P27"/>
      <c r="Q27"/>
      <c r="R27" s="239">
        <v>0.18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2:16" ht="15.75" customHeight="1">
      <c r="B28" s="241"/>
      <c r="C28" s="144" t="s">
        <v>96</v>
      </c>
      <c r="D28" s="237" t="s">
        <v>97</v>
      </c>
      <c r="E28" s="220" t="s">
        <v>98</v>
      </c>
      <c r="F28" s="220">
        <v>0.36</v>
      </c>
      <c r="G28" s="168">
        <f>F28*G20</f>
        <v>2.88</v>
      </c>
      <c r="H28" s="147">
        <v>0</v>
      </c>
      <c r="I28" s="147">
        <f>H28*G28</f>
        <v>0</v>
      </c>
      <c r="J28" s="220">
        <v>2.4</v>
      </c>
      <c r="K28" s="168">
        <f>J28*G28</f>
        <v>6.912</v>
      </c>
      <c r="L28" s="147">
        <v>0</v>
      </c>
      <c r="M28" s="147">
        <f>L28*G28</f>
        <v>0</v>
      </c>
      <c r="N28" s="168">
        <f>M28+K28+I28</f>
        <v>6.912</v>
      </c>
      <c r="P28">
        <f>N28/7/0.15</f>
        <v>6.582857142857143</v>
      </c>
    </row>
    <row r="29" spans="2:16" ht="30" customHeight="1">
      <c r="B29" s="241"/>
      <c r="C29" s="184"/>
      <c r="D29" s="226" t="s">
        <v>142</v>
      </c>
      <c r="E29" s="144" t="s">
        <v>25</v>
      </c>
      <c r="F29" s="144">
        <v>0.25</v>
      </c>
      <c r="G29" s="159">
        <f>F29*G20</f>
        <v>2</v>
      </c>
      <c r="H29" s="147">
        <v>0</v>
      </c>
      <c r="I29" s="147">
        <f>H29*G29</f>
        <v>0</v>
      </c>
      <c r="J29" s="144">
        <v>3.2</v>
      </c>
      <c r="K29" s="159">
        <f>J29*G29</f>
        <v>6.4</v>
      </c>
      <c r="L29" s="147">
        <v>0</v>
      </c>
      <c r="M29" s="147">
        <f>L29*G29</f>
        <v>0</v>
      </c>
      <c r="N29" s="159">
        <f>M29+K29+I29</f>
        <v>6.4</v>
      </c>
      <c r="P29" s="162"/>
    </row>
    <row r="30" spans="2:18" ht="17.25" customHeight="1" thickBot="1">
      <c r="B30" s="242"/>
      <c r="C30" s="149" t="s">
        <v>143</v>
      </c>
      <c r="D30" s="230" t="s">
        <v>160</v>
      </c>
      <c r="E30" s="259" t="s">
        <v>95</v>
      </c>
      <c r="F30" s="259" t="s">
        <v>6</v>
      </c>
      <c r="G30" s="273">
        <f>G20*R30</f>
        <v>1.18912</v>
      </c>
      <c r="H30" s="260">
        <v>0</v>
      </c>
      <c r="I30" s="260">
        <f>H30*G30</f>
        <v>0</v>
      </c>
      <c r="J30" s="261">
        <v>0</v>
      </c>
      <c r="K30" s="261">
        <f>J30*G30</f>
        <v>0</v>
      </c>
      <c r="L30" s="259">
        <v>29.38</v>
      </c>
      <c r="M30" s="262">
        <f>L30*G30</f>
        <v>34.936345599999996</v>
      </c>
      <c r="N30" s="262">
        <f>M30+K30+I30</f>
        <v>34.936345599999996</v>
      </c>
      <c r="P30" s="162"/>
      <c r="R30">
        <f>(10*14+2*4.32)/1000</f>
        <v>0.14864</v>
      </c>
    </row>
    <row r="31" spans="2:126" s="1" customFormat="1" ht="28.5" customHeight="1" thickTop="1">
      <c r="B31" s="155">
        <v>4</v>
      </c>
      <c r="C31" s="355" t="s">
        <v>99</v>
      </c>
      <c r="D31" s="243" t="s">
        <v>37</v>
      </c>
      <c r="E31" s="172" t="s">
        <v>100</v>
      </c>
      <c r="F31" s="172" t="s">
        <v>4</v>
      </c>
      <c r="G31" s="244">
        <f>G12*R31</f>
        <v>37.44</v>
      </c>
      <c r="H31" s="141"/>
      <c r="I31" s="142"/>
      <c r="J31" s="142"/>
      <c r="K31" s="142"/>
      <c r="L31" s="142"/>
      <c r="M31" s="142"/>
      <c r="N31" s="143"/>
      <c r="O31"/>
      <c r="P31"/>
      <c r="R31" s="245">
        <v>4.68</v>
      </c>
      <c r="S31" s="246">
        <f>3.14*0.139*10+3.14*0.05*2+3.14*0.06*0.06</f>
        <v>4.689904000000001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2:126" s="1" customFormat="1" ht="17.25" customHeight="1">
      <c r="B32" s="8"/>
      <c r="C32" s="356"/>
      <c r="D32" s="226" t="s">
        <v>29</v>
      </c>
      <c r="E32" s="144" t="s">
        <v>28</v>
      </c>
      <c r="F32" s="144">
        <v>0.387</v>
      </c>
      <c r="G32" s="166">
        <f>G31*F32</f>
        <v>14.489279999999999</v>
      </c>
      <c r="H32" s="144">
        <v>3.2</v>
      </c>
      <c r="I32" s="146">
        <f>G32*H32</f>
        <v>46.365696</v>
      </c>
      <c r="J32" s="147">
        <v>0</v>
      </c>
      <c r="K32" s="147">
        <f>G32*J32</f>
        <v>0</v>
      </c>
      <c r="L32" s="147">
        <v>0</v>
      </c>
      <c r="M32" s="147">
        <f>G32*L32</f>
        <v>0</v>
      </c>
      <c r="N32" s="146">
        <f>I32+K32+M32</f>
        <v>46.365696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2:126" s="1" customFormat="1" ht="19.5" customHeight="1" thickBot="1">
      <c r="B33" s="160"/>
      <c r="C33" s="174" t="s">
        <v>101</v>
      </c>
      <c r="D33" s="247" t="s">
        <v>144</v>
      </c>
      <c r="E33" s="176" t="s">
        <v>5</v>
      </c>
      <c r="F33" s="177">
        <v>0.25</v>
      </c>
      <c r="G33" s="196">
        <f>G31*F33</f>
        <v>9.36</v>
      </c>
      <c r="H33" s="152">
        <v>0</v>
      </c>
      <c r="I33" s="152">
        <f>G33*H33</f>
        <v>0</v>
      </c>
      <c r="J33" s="178">
        <v>15</v>
      </c>
      <c r="K33" s="154">
        <f>G33*J33</f>
        <v>140.39999999999998</v>
      </c>
      <c r="L33" s="152">
        <v>0</v>
      </c>
      <c r="M33" s="152">
        <f>G33*L33</f>
        <v>0</v>
      </c>
      <c r="N33" s="154">
        <f>I33+K33+M33</f>
        <v>140.39999999999998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2:14" ht="27.75" thickTop="1">
      <c r="B34" s="179">
        <v>5</v>
      </c>
      <c r="C34" s="364" t="s">
        <v>145</v>
      </c>
      <c r="D34" s="235" t="s">
        <v>146</v>
      </c>
      <c r="E34" s="164" t="s">
        <v>16</v>
      </c>
      <c r="F34" s="164"/>
      <c r="G34" s="236">
        <f>Q12</f>
        <v>8</v>
      </c>
      <c r="H34" s="181"/>
      <c r="I34" s="182"/>
      <c r="J34" s="182"/>
      <c r="K34" s="182"/>
      <c r="L34" s="182"/>
      <c r="M34" s="182"/>
      <c r="N34" s="183"/>
    </row>
    <row r="35" spans="2:20" ht="15.75">
      <c r="B35" s="179"/>
      <c r="C35" s="354"/>
      <c r="D35" s="226" t="s">
        <v>147</v>
      </c>
      <c r="E35" s="144" t="s">
        <v>106</v>
      </c>
      <c r="F35" s="144">
        <v>1.68</v>
      </c>
      <c r="G35" s="166">
        <f>F35*G34</f>
        <v>13.44</v>
      </c>
      <c r="H35" s="144">
        <v>4.6</v>
      </c>
      <c r="I35" s="159">
        <f>H35*G35</f>
        <v>61.82399999999999</v>
      </c>
      <c r="J35" s="147">
        <v>0</v>
      </c>
      <c r="K35" s="147">
        <f>J35*G35</f>
        <v>0</v>
      </c>
      <c r="L35" s="147">
        <v>0</v>
      </c>
      <c r="M35" s="147">
        <f>L35*G35</f>
        <v>0</v>
      </c>
      <c r="N35" s="159">
        <f>M35+K35+I35</f>
        <v>61.82399999999999</v>
      </c>
      <c r="R35">
        <f>34.4/1000</f>
        <v>0.0344</v>
      </c>
      <c r="T35" s="248" t="s">
        <v>148</v>
      </c>
    </row>
    <row r="36" spans="2:20" ht="44.25" customHeight="1">
      <c r="B36" s="249"/>
      <c r="C36" s="144" t="s">
        <v>111</v>
      </c>
      <c r="D36" s="226" t="s">
        <v>149</v>
      </c>
      <c r="E36" s="144" t="s">
        <v>16</v>
      </c>
      <c r="F36" s="144">
        <v>1</v>
      </c>
      <c r="G36" s="197">
        <f>F36*G34</f>
        <v>8</v>
      </c>
      <c r="H36" s="147">
        <v>0</v>
      </c>
      <c r="I36" s="147">
        <f>H36*G36</f>
        <v>0</v>
      </c>
      <c r="J36" s="159">
        <v>95</v>
      </c>
      <c r="K36" s="159">
        <f>J36*G36</f>
        <v>760</v>
      </c>
      <c r="L36" s="147">
        <v>0</v>
      </c>
      <c r="M36" s="147">
        <f>L36*G36</f>
        <v>0</v>
      </c>
      <c r="N36" s="159">
        <f>M36+K36+I36</f>
        <v>760</v>
      </c>
      <c r="T36" s="250">
        <f>N43+N37+N14</f>
        <v>385.89850700000005</v>
      </c>
    </row>
    <row r="37" spans="2:14" ht="16.5" customHeight="1">
      <c r="B37" s="218"/>
      <c r="C37" s="185" t="s">
        <v>108</v>
      </c>
      <c r="D37" s="226" t="s">
        <v>109</v>
      </c>
      <c r="E37" s="220" t="s">
        <v>95</v>
      </c>
      <c r="F37" s="191">
        <v>0.335</v>
      </c>
      <c r="G37" s="191">
        <f>F37*G34</f>
        <v>2.68</v>
      </c>
      <c r="H37" s="159">
        <v>7.51</v>
      </c>
      <c r="I37" s="159">
        <f>H37*G37</f>
        <v>20.1268</v>
      </c>
      <c r="J37" s="147">
        <v>0</v>
      </c>
      <c r="K37" s="147">
        <f>J37*G37</f>
        <v>0</v>
      </c>
      <c r="L37" s="159">
        <f>25.61-H37</f>
        <v>18.1</v>
      </c>
      <c r="M37" s="159">
        <f>L37*G37</f>
        <v>48.50800000000001</v>
      </c>
      <c r="N37" s="159">
        <f>M37+K37+I37</f>
        <v>68.63480000000001</v>
      </c>
    </row>
    <row r="38" spans="2:14" ht="17.25" customHeight="1" thickBot="1">
      <c r="B38" s="169"/>
      <c r="C38" s="170"/>
      <c r="D38" s="234" t="s">
        <v>24</v>
      </c>
      <c r="E38" s="149" t="s">
        <v>25</v>
      </c>
      <c r="F38" s="149">
        <v>0.16</v>
      </c>
      <c r="G38" s="151">
        <f>F38*G34</f>
        <v>1.28</v>
      </c>
      <c r="H38" s="152">
        <v>0</v>
      </c>
      <c r="I38" s="152">
        <f>H38*G38</f>
        <v>0</v>
      </c>
      <c r="J38" s="149">
        <v>3.2</v>
      </c>
      <c r="K38" s="151">
        <f>J38*G38</f>
        <v>4.096</v>
      </c>
      <c r="L38" s="152">
        <v>0</v>
      </c>
      <c r="M38" s="152">
        <f>L38*G38</f>
        <v>0</v>
      </c>
      <c r="N38" s="151">
        <f>M38+K38+I38</f>
        <v>4.096</v>
      </c>
    </row>
    <row r="39" spans="2:17" ht="27.75" customHeight="1" thickTop="1">
      <c r="B39" s="179">
        <v>5</v>
      </c>
      <c r="C39" s="352" t="s">
        <v>150</v>
      </c>
      <c r="D39" s="235" t="s">
        <v>156</v>
      </c>
      <c r="E39" s="164" t="s">
        <v>103</v>
      </c>
      <c r="F39" s="164"/>
      <c r="G39" s="198">
        <f>G45+G44</f>
        <v>277.00000000000006</v>
      </c>
      <c r="H39" s="181"/>
      <c r="I39" s="182"/>
      <c r="J39" s="182"/>
      <c r="K39" s="182"/>
      <c r="L39" s="182"/>
      <c r="M39" s="182"/>
      <c r="N39" s="183"/>
      <c r="Q39">
        <f>34.6/100</f>
        <v>0.34600000000000003</v>
      </c>
    </row>
    <row r="40" spans="2:19" ht="17.25" customHeight="1">
      <c r="B40" s="179"/>
      <c r="C40" s="353"/>
      <c r="D40" s="226" t="s">
        <v>151</v>
      </c>
      <c r="E40" s="144" t="s">
        <v>106</v>
      </c>
      <c r="F40" s="166">
        <f>(34.4+1.48*20)/1000</f>
        <v>0.064</v>
      </c>
      <c r="G40" s="166">
        <f>F40*G39</f>
        <v>17.728000000000005</v>
      </c>
      <c r="H40" s="144">
        <v>4.6</v>
      </c>
      <c r="I40" s="159">
        <f>H40*G40</f>
        <v>81.54880000000001</v>
      </c>
      <c r="J40" s="147">
        <v>0</v>
      </c>
      <c r="K40" s="147">
        <f>J40*G40</f>
        <v>0</v>
      </c>
      <c r="L40" s="147">
        <v>0</v>
      </c>
      <c r="M40" s="147">
        <f>L40*G40</f>
        <v>0</v>
      </c>
      <c r="N40" s="159">
        <f>M40+K40+I40</f>
        <v>81.54880000000001</v>
      </c>
      <c r="S40">
        <f>N40/G34</f>
        <v>10.193600000000002</v>
      </c>
    </row>
    <row r="41" spans="2:14" ht="17.25" customHeight="1">
      <c r="B41" s="179"/>
      <c r="C41" s="353"/>
      <c r="D41" s="226" t="s">
        <v>24</v>
      </c>
      <c r="E41" s="144" t="s">
        <v>25</v>
      </c>
      <c r="F41" s="166">
        <v>0.006</v>
      </c>
      <c r="G41" s="166">
        <f>F41*G39</f>
        <v>1.6620000000000004</v>
      </c>
      <c r="H41" s="147">
        <v>0</v>
      </c>
      <c r="I41" s="147">
        <f aca="true" t="shared" si="3" ref="I41:I47">H41*G41</f>
        <v>0</v>
      </c>
      <c r="J41" s="144">
        <v>3.2</v>
      </c>
      <c r="K41" s="166">
        <f aca="true" t="shared" si="4" ref="K41:K47">J41*G41</f>
        <v>5.318400000000001</v>
      </c>
      <c r="L41" s="147"/>
      <c r="M41" s="147">
        <f aca="true" t="shared" si="5" ref="M41:M47">L41*G41</f>
        <v>0</v>
      </c>
      <c r="N41" s="159">
        <f aca="true" t="shared" si="6" ref="N41:N47">M41+K41+I41</f>
        <v>5.318400000000001</v>
      </c>
    </row>
    <row r="42" spans="2:14" ht="17.25" customHeight="1">
      <c r="B42" s="179"/>
      <c r="C42" s="354"/>
      <c r="D42" s="226" t="s">
        <v>152</v>
      </c>
      <c r="E42" s="144" t="s">
        <v>25</v>
      </c>
      <c r="F42" s="166">
        <f>0.0032+20*0.09/1000</f>
        <v>0.005</v>
      </c>
      <c r="G42" s="166">
        <f>F42*G39</f>
        <v>1.3850000000000002</v>
      </c>
      <c r="H42" s="147">
        <v>0</v>
      </c>
      <c r="I42" s="147">
        <f t="shared" si="3"/>
        <v>0</v>
      </c>
      <c r="J42" s="147">
        <v>0</v>
      </c>
      <c r="K42" s="147">
        <f t="shared" si="4"/>
        <v>0</v>
      </c>
      <c r="L42" s="144">
        <v>3.2</v>
      </c>
      <c r="M42" s="159">
        <f t="shared" si="5"/>
        <v>4.432000000000001</v>
      </c>
      <c r="N42" s="159">
        <f t="shared" si="6"/>
        <v>4.432000000000001</v>
      </c>
    </row>
    <row r="43" spans="2:19" ht="27">
      <c r="B43" s="179"/>
      <c r="C43" s="185" t="s">
        <v>108</v>
      </c>
      <c r="D43" s="226" t="s">
        <v>153</v>
      </c>
      <c r="E43" s="144" t="s">
        <v>110</v>
      </c>
      <c r="F43" s="251">
        <f>(12.7+0.82*20)/1000</f>
        <v>0.029099999999999997</v>
      </c>
      <c r="G43" s="166">
        <f>F43*G39</f>
        <v>8.0607</v>
      </c>
      <c r="H43" s="159">
        <v>7.51</v>
      </c>
      <c r="I43" s="159">
        <f t="shared" si="3"/>
        <v>60.535857</v>
      </c>
      <c r="J43" s="147">
        <v>0</v>
      </c>
      <c r="K43" s="147">
        <f t="shared" si="4"/>
        <v>0</v>
      </c>
      <c r="L43" s="159">
        <f>25.61-H43</f>
        <v>18.1</v>
      </c>
      <c r="M43" s="159">
        <f t="shared" si="5"/>
        <v>145.89867</v>
      </c>
      <c r="N43" s="159">
        <f t="shared" si="6"/>
        <v>206.434527</v>
      </c>
      <c r="S43">
        <f>N43/G34</f>
        <v>25.804315875</v>
      </c>
    </row>
    <row r="44" spans="2:14" ht="27">
      <c r="B44" s="179"/>
      <c r="C44" s="180" t="s">
        <v>130</v>
      </c>
      <c r="D44" s="252" t="s">
        <v>157</v>
      </c>
      <c r="E44" s="144" t="s">
        <v>103</v>
      </c>
      <c r="F44" s="144" t="s">
        <v>89</v>
      </c>
      <c r="G44" s="159">
        <f>G34*33*1.02-12.28</f>
        <v>257.00000000000006</v>
      </c>
      <c r="H44" s="147">
        <v>0</v>
      </c>
      <c r="I44" s="147">
        <f t="shared" si="3"/>
        <v>0</v>
      </c>
      <c r="J44" s="186">
        <v>1.9</v>
      </c>
      <c r="K44" s="159">
        <f t="shared" si="4"/>
        <v>488.30000000000007</v>
      </c>
      <c r="L44" s="147">
        <v>0</v>
      </c>
      <c r="M44" s="147">
        <f t="shared" si="5"/>
        <v>0</v>
      </c>
      <c r="N44" s="159">
        <f>M44+K44+I44</f>
        <v>488.30000000000007</v>
      </c>
    </row>
    <row r="45" spans="2:17" ht="16.5" customHeight="1">
      <c r="B45" s="179"/>
      <c r="C45" s="205" t="s">
        <v>129</v>
      </c>
      <c r="D45" s="252" t="s">
        <v>128</v>
      </c>
      <c r="E45" s="144" t="s">
        <v>103</v>
      </c>
      <c r="F45" s="144" t="s">
        <v>89</v>
      </c>
      <c r="G45" s="159">
        <f>G12*Q45</f>
        <v>20</v>
      </c>
      <c r="H45" s="147">
        <v>0</v>
      </c>
      <c r="I45" s="147">
        <f t="shared" si="3"/>
        <v>0</v>
      </c>
      <c r="J45" s="188">
        <v>1.01</v>
      </c>
      <c r="K45" s="166">
        <f t="shared" si="4"/>
        <v>20.2</v>
      </c>
      <c r="L45" s="147">
        <v>0</v>
      </c>
      <c r="M45" s="147">
        <f t="shared" si="5"/>
        <v>0</v>
      </c>
      <c r="N45" s="159">
        <f t="shared" si="6"/>
        <v>20.2</v>
      </c>
      <c r="Q45" s="245">
        <v>2.5</v>
      </c>
    </row>
    <row r="46" spans="2:17" ht="16.5" customHeight="1">
      <c r="B46" s="179"/>
      <c r="C46" s="180"/>
      <c r="D46" s="226" t="s">
        <v>70</v>
      </c>
      <c r="E46" s="144" t="s">
        <v>16</v>
      </c>
      <c r="F46" s="144" t="s">
        <v>89</v>
      </c>
      <c r="G46" s="197">
        <f>G12*Q46</f>
        <v>16</v>
      </c>
      <c r="H46" s="147">
        <v>0</v>
      </c>
      <c r="I46" s="147">
        <f t="shared" si="3"/>
        <v>0</v>
      </c>
      <c r="J46" s="186">
        <v>4.65</v>
      </c>
      <c r="K46" s="159">
        <f t="shared" si="4"/>
        <v>74.4</v>
      </c>
      <c r="L46" s="147">
        <v>0</v>
      </c>
      <c r="M46" s="147">
        <f t="shared" si="5"/>
        <v>0</v>
      </c>
      <c r="N46" s="159">
        <f t="shared" si="6"/>
        <v>74.4</v>
      </c>
      <c r="Q46" s="245">
        <v>2</v>
      </c>
    </row>
    <row r="47" spans="2:20" ht="16.5" customHeight="1">
      <c r="B47" s="179"/>
      <c r="C47" s="180"/>
      <c r="D47" s="226" t="s">
        <v>39</v>
      </c>
      <c r="E47" s="144" t="s">
        <v>16</v>
      </c>
      <c r="F47" s="144" t="s">
        <v>89</v>
      </c>
      <c r="G47" s="197">
        <f>G12*Q47</f>
        <v>8</v>
      </c>
      <c r="H47" s="147">
        <v>0</v>
      </c>
      <c r="I47" s="147">
        <f t="shared" si="3"/>
        <v>0</v>
      </c>
      <c r="J47" s="186">
        <v>6.35</v>
      </c>
      <c r="K47" s="159">
        <f t="shared" si="4"/>
        <v>50.8</v>
      </c>
      <c r="L47" s="147">
        <v>0</v>
      </c>
      <c r="M47" s="147">
        <f t="shared" si="5"/>
        <v>0</v>
      </c>
      <c r="N47" s="159">
        <f t="shared" si="6"/>
        <v>50.8</v>
      </c>
      <c r="Q47" s="245">
        <v>1</v>
      </c>
      <c r="S47" s="246"/>
      <c r="T47" s="253" t="s">
        <v>154</v>
      </c>
    </row>
    <row r="48" spans="2:21" ht="16.5" customHeight="1" thickBot="1">
      <c r="B48" s="179"/>
      <c r="C48" s="180"/>
      <c r="D48" s="234" t="s">
        <v>40</v>
      </c>
      <c r="E48" s="149" t="s">
        <v>16</v>
      </c>
      <c r="F48" s="149" t="s">
        <v>89</v>
      </c>
      <c r="G48" s="254">
        <v>2</v>
      </c>
      <c r="H48" s="152">
        <v>0</v>
      </c>
      <c r="I48" s="152">
        <f>H48*G48</f>
        <v>0</v>
      </c>
      <c r="J48" s="203">
        <v>5.5</v>
      </c>
      <c r="K48" s="151">
        <f>J48*G48</f>
        <v>11</v>
      </c>
      <c r="L48" s="152">
        <v>0</v>
      </c>
      <c r="M48" s="152">
        <f>L48*G48</f>
        <v>0</v>
      </c>
      <c r="N48" s="151">
        <f>M48+K48+I48</f>
        <v>11</v>
      </c>
      <c r="S48" s="246" t="s">
        <v>155</v>
      </c>
      <c r="T48" s="255">
        <v>0.458</v>
      </c>
      <c r="U48">
        <f>T48*G39</f>
        <v>126.86600000000003</v>
      </c>
    </row>
    <row r="49" spans="2:127" s="1" customFormat="1" ht="16.5" customHeight="1" thickTop="1">
      <c r="B49" s="365" t="s">
        <v>41</v>
      </c>
      <c r="C49" s="366"/>
      <c r="D49" s="366"/>
      <c r="E49" s="366"/>
      <c r="F49" s="366"/>
      <c r="G49" s="367"/>
      <c r="H49" s="256"/>
      <c r="I49" s="190">
        <f>SUM(I13:I48)</f>
        <v>636.530653</v>
      </c>
      <c r="J49" s="190"/>
      <c r="K49" s="190">
        <f>SUM(K13:K48)</f>
        <v>3762.5351160000005</v>
      </c>
      <c r="L49" s="190"/>
      <c r="M49" s="190">
        <f>SUM(M13:M48)</f>
        <v>345.5362156</v>
      </c>
      <c r="N49" s="190">
        <f>SUM(N13:N48)</f>
        <v>4744.6019846</v>
      </c>
      <c r="O49"/>
      <c r="P49"/>
      <c r="Q49"/>
      <c r="R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2:127" s="1" customFormat="1" ht="16.5" customHeight="1">
      <c r="B50" s="360" t="s">
        <v>124</v>
      </c>
      <c r="C50" s="360"/>
      <c r="D50" s="360"/>
      <c r="E50" s="360"/>
      <c r="F50" s="360"/>
      <c r="G50" s="360"/>
      <c r="H50" s="257">
        <v>0.03</v>
      </c>
      <c r="I50" s="190"/>
      <c r="J50" s="190"/>
      <c r="K50" s="190">
        <f>K49*H50</f>
        <v>112.87605348000001</v>
      </c>
      <c r="L50" s="190"/>
      <c r="M50" s="190"/>
      <c r="N50" s="190">
        <f>K50</f>
        <v>112.87605348000001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2:127" s="1" customFormat="1" ht="16.5" customHeight="1">
      <c r="B51" s="361" t="s">
        <v>7</v>
      </c>
      <c r="C51" s="361"/>
      <c r="D51" s="361"/>
      <c r="E51" s="361"/>
      <c r="F51" s="361"/>
      <c r="G51" s="361"/>
      <c r="H51" s="211"/>
      <c r="I51" s="190"/>
      <c r="J51" s="190"/>
      <c r="K51" s="190"/>
      <c r="L51" s="190"/>
      <c r="M51" s="190"/>
      <c r="N51" s="190">
        <f>SUM(N49:N50)</f>
        <v>4857.47803808</v>
      </c>
      <c r="O51"/>
      <c r="P51" t="s">
        <v>58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2:127" s="1" customFormat="1" ht="16.5" customHeight="1">
      <c r="B52" s="360" t="s">
        <v>113</v>
      </c>
      <c r="C52" s="360"/>
      <c r="D52" s="360"/>
      <c r="E52" s="360"/>
      <c r="F52" s="360"/>
      <c r="G52" s="360"/>
      <c r="H52" s="257">
        <v>0.1</v>
      </c>
      <c r="I52" s="190"/>
      <c r="J52" s="190"/>
      <c r="K52" s="190"/>
      <c r="L52" s="190"/>
      <c r="M52" s="190"/>
      <c r="N52" s="190">
        <f>N51*H52</f>
        <v>485.74780380800007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2:127" s="1" customFormat="1" ht="16.5" customHeight="1">
      <c r="B53" s="361" t="s">
        <v>7</v>
      </c>
      <c r="C53" s="361"/>
      <c r="D53" s="361"/>
      <c r="E53" s="361"/>
      <c r="F53" s="361"/>
      <c r="G53" s="361"/>
      <c r="H53" s="266"/>
      <c r="I53" s="190"/>
      <c r="J53" s="190"/>
      <c r="K53" s="190"/>
      <c r="L53" s="190"/>
      <c r="M53" s="190"/>
      <c r="N53" s="190">
        <f>SUM(N51:N52)</f>
        <v>5343.225841888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2:127" s="1" customFormat="1" ht="16.5" customHeight="1">
      <c r="B54" s="360" t="s">
        <v>114</v>
      </c>
      <c r="C54" s="360"/>
      <c r="D54" s="360"/>
      <c r="E54" s="360"/>
      <c r="F54" s="360"/>
      <c r="G54" s="360"/>
      <c r="H54" s="257">
        <v>0.08</v>
      </c>
      <c r="I54" s="190"/>
      <c r="J54" s="190"/>
      <c r="K54" s="190"/>
      <c r="L54" s="190"/>
      <c r="M54" s="190"/>
      <c r="N54" s="190">
        <f>N53*H54</f>
        <v>427.45806735104003</v>
      </c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2:127" s="1" customFormat="1" ht="16.5" customHeight="1">
      <c r="B55" s="361" t="s">
        <v>7</v>
      </c>
      <c r="C55" s="361"/>
      <c r="D55" s="361"/>
      <c r="E55" s="361"/>
      <c r="F55" s="361"/>
      <c r="G55" s="361"/>
      <c r="H55" s="257"/>
      <c r="I55" s="190"/>
      <c r="J55" s="190"/>
      <c r="K55" s="190"/>
      <c r="L55" s="190"/>
      <c r="M55" s="190"/>
      <c r="N55" s="190">
        <f>SUM(N53:N54)</f>
        <v>5770.68390923904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2:127" s="1" customFormat="1" ht="16.5" customHeight="1">
      <c r="B56" s="360" t="s">
        <v>115</v>
      </c>
      <c r="C56" s="360"/>
      <c r="D56" s="360"/>
      <c r="E56" s="360"/>
      <c r="F56" s="360"/>
      <c r="G56" s="360"/>
      <c r="H56" s="257">
        <v>0.015</v>
      </c>
      <c r="I56" s="190"/>
      <c r="J56" s="190"/>
      <c r="K56" s="190"/>
      <c r="L56" s="190"/>
      <c r="M56" s="190"/>
      <c r="N56" s="190">
        <f>N55*H56</f>
        <v>86.5602586385856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2:127" s="1" customFormat="1" ht="16.5" customHeight="1">
      <c r="B57" s="361" t="s">
        <v>7</v>
      </c>
      <c r="C57" s="361"/>
      <c r="D57" s="361"/>
      <c r="E57" s="361"/>
      <c r="F57" s="361"/>
      <c r="G57" s="361"/>
      <c r="H57" s="257"/>
      <c r="I57" s="190"/>
      <c r="J57" s="190"/>
      <c r="K57" s="190"/>
      <c r="L57" s="190"/>
      <c r="M57" s="190"/>
      <c r="N57" s="190">
        <f>SUM(N55:N56)</f>
        <v>5857.244167877626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2:127" s="1" customFormat="1" ht="16.5" customHeight="1">
      <c r="B58" s="360" t="s">
        <v>116</v>
      </c>
      <c r="C58" s="360"/>
      <c r="D58" s="360"/>
      <c r="E58" s="360"/>
      <c r="F58" s="360"/>
      <c r="G58" s="360"/>
      <c r="H58" s="257">
        <v>0.18</v>
      </c>
      <c r="I58" s="190"/>
      <c r="J58" s="190"/>
      <c r="K58" s="190"/>
      <c r="L58" s="190"/>
      <c r="M58" s="190"/>
      <c r="N58" s="190">
        <f>N57*H58</f>
        <v>1054.3039502179727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2:127" s="1" customFormat="1" ht="16.5" customHeight="1">
      <c r="B59" s="361" t="s">
        <v>21</v>
      </c>
      <c r="C59" s="361"/>
      <c r="D59" s="361"/>
      <c r="E59" s="361"/>
      <c r="F59" s="361"/>
      <c r="G59" s="361"/>
      <c r="H59" s="212"/>
      <c r="I59" s="190"/>
      <c r="J59" s="190"/>
      <c r="K59" s="190"/>
      <c r="L59" s="190"/>
      <c r="M59" s="190"/>
      <c r="N59" s="256">
        <f>SUM(N57:N58)</f>
        <v>6911.5481180955985</v>
      </c>
      <c r="O59"/>
      <c r="P59"/>
      <c r="Q59" s="162"/>
      <c r="R59">
        <f>N59/8</f>
        <v>863.9435147619498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4:127" s="1" customFormat="1" ht="21">
      <c r="D60" s="131"/>
      <c r="F60" s="45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2:127" s="1" customFormat="1" ht="21">
      <c r="B61" s="45" t="s">
        <v>59</v>
      </c>
      <c r="C61" s="45"/>
      <c r="D61" s="45"/>
      <c r="E61" s="45"/>
      <c r="F61" s="45"/>
      <c r="G61" s="2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2:127" s="1" customFormat="1" ht="21">
      <c r="B62" s="45"/>
      <c r="C62" s="2"/>
      <c r="D62" s="2"/>
      <c r="E62" s="2"/>
      <c r="F62" s="49"/>
      <c r="G62" s="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2:127" s="1" customFormat="1" ht="21">
      <c r="B63" s="2"/>
      <c r="C63" s="45" t="s">
        <v>49</v>
      </c>
      <c r="D63" s="45"/>
      <c r="E63" s="45"/>
      <c r="F63" s="2"/>
      <c r="G63" s="2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2:127" s="1" customFormat="1" ht="21">
      <c r="B64" s="2"/>
      <c r="C64" s="45"/>
      <c r="D64" s="258"/>
      <c r="E64" s="45"/>
      <c r="F64" s="2"/>
      <c r="G64" s="2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4:127" s="1" customFormat="1" ht="13.5">
      <c r="D65" s="131"/>
      <c r="F65" s="2"/>
      <c r="G65" s="2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</sheetData>
  <sheetProtection/>
  <mergeCells count="42">
    <mergeCell ref="B1:N1"/>
    <mergeCell ref="B2:N2"/>
    <mergeCell ref="C3:D3"/>
    <mergeCell ref="E3:F3"/>
    <mergeCell ref="H3:J3"/>
    <mergeCell ref="C4:D4"/>
    <mergeCell ref="E4:F4"/>
    <mergeCell ref="B5:N5"/>
    <mergeCell ref="B7:B10"/>
    <mergeCell ref="C7:C10"/>
    <mergeCell ref="D7:D10"/>
    <mergeCell ref="E7:E10"/>
    <mergeCell ref="F7:G7"/>
    <mergeCell ref="H7:N7"/>
    <mergeCell ref="F8:F10"/>
    <mergeCell ref="G8:G10"/>
    <mergeCell ref="H8:I8"/>
    <mergeCell ref="J8:K8"/>
    <mergeCell ref="L8:M8"/>
    <mergeCell ref="N8:N10"/>
    <mergeCell ref="H9:H10"/>
    <mergeCell ref="I9:I10"/>
    <mergeCell ref="J9:J10"/>
    <mergeCell ref="K9:K10"/>
    <mergeCell ref="L9:L10"/>
    <mergeCell ref="M9:M10"/>
    <mergeCell ref="C17:C18"/>
    <mergeCell ref="C20:C22"/>
    <mergeCell ref="C31:C32"/>
    <mergeCell ref="C34:C35"/>
    <mergeCell ref="C39:C42"/>
    <mergeCell ref="B49:G49"/>
    <mergeCell ref="B56:G56"/>
    <mergeCell ref="B57:G57"/>
    <mergeCell ref="B58:G58"/>
    <mergeCell ref="B59:G59"/>
    <mergeCell ref="B50:G50"/>
    <mergeCell ref="B51:G51"/>
    <mergeCell ref="B52:G52"/>
    <mergeCell ref="B53:G53"/>
    <mergeCell ref="B54:G54"/>
    <mergeCell ref="B55:G55"/>
  </mergeCells>
  <printOptions/>
  <pageMargins left="0.7086614173228347" right="0.16" top="0.31" bottom="0.3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6"/>
  <sheetViews>
    <sheetView zoomScale="70" zoomScaleNormal="70" zoomScalePageLayoutView="0" workbookViewId="0" topLeftCell="A13">
      <selection activeCell="Q30" sqref="Q30:U36"/>
    </sheetView>
  </sheetViews>
  <sheetFormatPr defaultColWidth="9.00390625" defaultRowHeight="12.75"/>
  <cols>
    <col min="2" max="2" width="13.75390625" style="0" customWidth="1"/>
    <col min="3" max="3" width="10.625" style="0" customWidth="1"/>
    <col min="5" max="5" width="18.375" style="0" customWidth="1"/>
    <col min="6" max="6" width="13.00390625" style="0" customWidth="1"/>
    <col min="9" max="9" width="5.875" style="0" customWidth="1"/>
    <col min="13" max="13" width="10.875" style="0" customWidth="1"/>
    <col min="17" max="17" width="4.25390625" style="0" customWidth="1"/>
    <col min="18" max="18" width="63.00390625" style="0" customWidth="1"/>
    <col min="20" max="20" width="12.00390625" style="0" customWidth="1"/>
    <col min="21" max="21" width="12.625" style="0" customWidth="1"/>
  </cols>
  <sheetData>
    <row r="2" spans="17:20" ht="21" customHeight="1">
      <c r="Q2" s="246"/>
      <c r="R2" s="277" t="s">
        <v>181</v>
      </c>
      <c r="S2" s="276" t="s">
        <v>188</v>
      </c>
      <c r="T2" s="276" t="s">
        <v>2</v>
      </c>
    </row>
    <row r="3" spans="17:20" ht="13.5" thickBot="1">
      <c r="Q3" s="274">
        <v>1</v>
      </c>
      <c r="R3" s="274">
        <v>2</v>
      </c>
      <c r="S3" s="274">
        <v>3</v>
      </c>
      <c r="T3" s="274">
        <v>4</v>
      </c>
    </row>
    <row r="4" spans="17:20" ht="30.75" thickTop="1">
      <c r="Q4" s="275">
        <v>1</v>
      </c>
      <c r="R4" s="288" t="s">
        <v>182</v>
      </c>
      <c r="S4" s="289" t="s">
        <v>16</v>
      </c>
      <c r="T4" s="289">
        <f>H17</f>
        <v>8</v>
      </c>
    </row>
    <row r="5" spans="17:20" ht="16.5" customHeight="1">
      <c r="Q5" s="255">
        <v>2</v>
      </c>
      <c r="R5" s="290" t="s">
        <v>183</v>
      </c>
      <c r="S5" s="289" t="s">
        <v>16</v>
      </c>
      <c r="T5" s="290">
        <f>H17</f>
        <v>8</v>
      </c>
    </row>
    <row r="6" spans="17:20" ht="16.5" customHeight="1">
      <c r="Q6" s="255">
        <v>3</v>
      </c>
      <c r="R6" s="290" t="s">
        <v>184</v>
      </c>
      <c r="S6" s="291" t="s">
        <v>194</v>
      </c>
      <c r="T6" s="290">
        <f>'saboloo-1'!G17</f>
        <v>1.57</v>
      </c>
    </row>
    <row r="7" spans="17:20" ht="16.5" customHeight="1">
      <c r="Q7" s="372">
        <v>4</v>
      </c>
      <c r="R7" s="290" t="s">
        <v>185</v>
      </c>
      <c r="S7" s="289" t="s">
        <v>88</v>
      </c>
      <c r="T7" s="290">
        <f>'saboloo-1'!G39</f>
        <v>277.00000000000006</v>
      </c>
    </row>
    <row r="8" spans="17:20" ht="16.5" customHeight="1">
      <c r="Q8" s="373"/>
      <c r="R8" s="290" t="s">
        <v>186</v>
      </c>
      <c r="S8" s="289" t="s">
        <v>88</v>
      </c>
      <c r="T8" s="292">
        <f>'saboloo-1'!G44</f>
        <v>257.00000000000006</v>
      </c>
    </row>
    <row r="9" spans="17:20" ht="16.5" customHeight="1">
      <c r="Q9" s="374"/>
      <c r="R9" s="290" t="s">
        <v>187</v>
      </c>
      <c r="S9" s="289" t="s">
        <v>88</v>
      </c>
      <c r="T9" s="292">
        <f>'saboloo-1'!G45</f>
        <v>20</v>
      </c>
    </row>
    <row r="10" spans="17:20" ht="16.5" customHeight="1">
      <c r="Q10" s="255">
        <v>5</v>
      </c>
      <c r="R10" s="290" t="s">
        <v>70</v>
      </c>
      <c r="S10" s="289" t="s">
        <v>16</v>
      </c>
      <c r="T10" s="293">
        <f>'saboloo-1'!G46</f>
        <v>16</v>
      </c>
    </row>
    <row r="11" spans="17:20" ht="16.5" customHeight="1">
      <c r="Q11" s="255">
        <v>6</v>
      </c>
      <c r="R11" s="290" t="s">
        <v>39</v>
      </c>
      <c r="S11" s="289" t="s">
        <v>16</v>
      </c>
      <c r="T11" s="293">
        <f>'saboloo-1'!G47</f>
        <v>8</v>
      </c>
    </row>
    <row r="12" spans="17:20" ht="16.5" customHeight="1">
      <c r="Q12" s="255">
        <v>7</v>
      </c>
      <c r="R12" s="290" t="s">
        <v>40</v>
      </c>
      <c r="S12" s="289" t="s">
        <v>16</v>
      </c>
      <c r="T12" s="293">
        <f>'saboloo-1'!G48</f>
        <v>2</v>
      </c>
    </row>
    <row r="13" spans="17:20" ht="16.5" customHeight="1">
      <c r="Q13" s="255">
        <v>8</v>
      </c>
      <c r="R13" s="290" t="s">
        <v>196</v>
      </c>
      <c r="S13" s="289" t="s">
        <v>16</v>
      </c>
      <c r="T13" s="293">
        <f>'saboloo-1'!G36</f>
        <v>8</v>
      </c>
    </row>
    <row r="14" spans="17:20" ht="16.5" customHeight="1">
      <c r="Q14" s="255">
        <v>9</v>
      </c>
      <c r="R14" s="290" t="s">
        <v>144</v>
      </c>
      <c r="S14" s="291" t="s">
        <v>98</v>
      </c>
      <c r="T14" s="292">
        <f>'saboloo-1'!G33</f>
        <v>9.36</v>
      </c>
    </row>
    <row r="15" spans="17:20" ht="16.5" customHeight="1">
      <c r="Q15" s="300">
        <v>10</v>
      </c>
      <c r="R15" s="290" t="s">
        <v>200</v>
      </c>
      <c r="S15" s="291" t="s">
        <v>201</v>
      </c>
      <c r="T15" s="301">
        <f>'saboloo-1'!G26</f>
        <v>0.15896</v>
      </c>
    </row>
    <row r="16" spans="17:20" ht="16.5" customHeight="1">
      <c r="Q16" s="300">
        <v>11</v>
      </c>
      <c r="R16" s="290" t="s">
        <v>202</v>
      </c>
      <c r="S16" s="291" t="s">
        <v>203</v>
      </c>
      <c r="T16" s="302">
        <f>'saboloo-1'!G27</f>
        <v>1.44</v>
      </c>
    </row>
    <row r="17" spans="2:8" ht="43.5" customHeight="1">
      <c r="B17" s="267" t="s">
        <v>163</v>
      </c>
      <c r="C17" s="267" t="s">
        <v>164</v>
      </c>
      <c r="D17" s="267" t="s">
        <v>165</v>
      </c>
      <c r="E17" s="267" t="s">
        <v>169</v>
      </c>
      <c r="F17" s="267" t="s">
        <v>166</v>
      </c>
      <c r="H17" s="268">
        <v>8</v>
      </c>
    </row>
    <row r="18" spans="2:8" ht="33" customHeight="1">
      <c r="B18" s="285" t="s">
        <v>167</v>
      </c>
      <c r="C18" s="286">
        <f>H17</f>
        <v>8</v>
      </c>
      <c r="D18" s="287">
        <f>H18/1.02</f>
        <v>251.96078431372555</v>
      </c>
      <c r="E18" s="285">
        <v>1.02</v>
      </c>
      <c r="F18" s="284">
        <f>E18*D18</f>
        <v>257.00000000000006</v>
      </c>
      <c r="H18" s="269">
        <f>'saboloo-1'!G44</f>
        <v>257.00000000000006</v>
      </c>
    </row>
    <row r="19" spans="2:8" ht="33" customHeight="1">
      <c r="B19" s="285" t="s">
        <v>168</v>
      </c>
      <c r="C19" s="286">
        <f>H17</f>
        <v>8</v>
      </c>
      <c r="D19" s="285">
        <v>2.5</v>
      </c>
      <c r="E19" s="285">
        <v>1</v>
      </c>
      <c r="F19" s="284">
        <f>E19*D19*C19</f>
        <v>20</v>
      </c>
      <c r="H19" s="270"/>
    </row>
    <row r="23" spans="9:16" ht="21" customHeight="1">
      <c r="I23" s="380" t="s">
        <v>177</v>
      </c>
      <c r="J23" s="381"/>
      <c r="K23" s="381"/>
      <c r="L23" s="381"/>
      <c r="M23" s="381"/>
      <c r="N23" s="381"/>
      <c r="O23" s="381"/>
      <c r="P23" s="382"/>
    </row>
    <row r="24" spans="9:16" ht="54.75" customHeight="1">
      <c r="I24" s="272" t="s">
        <v>171</v>
      </c>
      <c r="J24" s="272" t="s">
        <v>172</v>
      </c>
      <c r="K24" s="267" t="s">
        <v>170</v>
      </c>
      <c r="L24" s="267" t="s">
        <v>173</v>
      </c>
      <c r="M24" s="267" t="s">
        <v>174</v>
      </c>
      <c r="N24" s="267" t="s">
        <v>179</v>
      </c>
      <c r="O24" s="267" t="s">
        <v>175</v>
      </c>
      <c r="P24" s="267" t="s">
        <v>176</v>
      </c>
    </row>
    <row r="25" spans="9:16" ht="21" customHeight="1">
      <c r="I25" s="383" t="s">
        <v>178</v>
      </c>
      <c r="J25" s="282">
        <v>1</v>
      </c>
      <c r="K25" s="282" t="s">
        <v>192</v>
      </c>
      <c r="L25" s="282">
        <v>10000</v>
      </c>
      <c r="M25" s="282">
        <f>H17</f>
        <v>8</v>
      </c>
      <c r="N25" s="282">
        <f>M25*L25/1000</f>
        <v>80</v>
      </c>
      <c r="O25" s="282">
        <v>14</v>
      </c>
      <c r="P25" s="283">
        <f>O25*N25</f>
        <v>1120</v>
      </c>
    </row>
    <row r="26" spans="9:16" ht="21" customHeight="1">
      <c r="I26" s="384"/>
      <c r="J26" s="282">
        <v>2</v>
      </c>
      <c r="K26" s="282" t="s">
        <v>193</v>
      </c>
      <c r="L26" s="282">
        <v>2000</v>
      </c>
      <c r="M26" s="282">
        <f>H17</f>
        <v>8</v>
      </c>
      <c r="N26" s="282">
        <f>M26*L26/1000</f>
        <v>16</v>
      </c>
      <c r="O26" s="282">
        <v>4.32</v>
      </c>
      <c r="P26" s="282">
        <f>O26*N26</f>
        <v>69.12</v>
      </c>
    </row>
    <row r="27" spans="9:16" ht="21" customHeight="1">
      <c r="I27" s="384"/>
      <c r="J27" s="282">
        <v>3</v>
      </c>
      <c r="K27" s="282" t="s">
        <v>199</v>
      </c>
      <c r="L27" s="282">
        <v>200</v>
      </c>
      <c r="M27" s="282">
        <f>H17</f>
        <v>8</v>
      </c>
      <c r="N27" s="282">
        <f>M27*L27/1000</f>
        <v>1.6</v>
      </c>
      <c r="O27" s="282">
        <v>2.74</v>
      </c>
      <c r="P27" s="282">
        <f>O27*N27</f>
        <v>4.384</v>
      </c>
    </row>
    <row r="28" spans="9:16" ht="21.75" customHeight="1">
      <c r="I28" s="385"/>
      <c r="J28" s="386" t="s">
        <v>180</v>
      </c>
      <c r="K28" s="387"/>
      <c r="L28" s="388"/>
      <c r="M28" s="389"/>
      <c r="N28" s="389"/>
      <c r="O28" s="390"/>
      <c r="P28" s="284">
        <f>SUM(P25:P27)</f>
        <v>1193.504</v>
      </c>
    </row>
    <row r="30" spans="17:21" ht="28.5" customHeight="1">
      <c r="Q30" s="375" t="s">
        <v>181</v>
      </c>
      <c r="R30" s="376"/>
      <c r="S30" s="276" t="s">
        <v>188</v>
      </c>
      <c r="T30" s="276" t="s">
        <v>2</v>
      </c>
      <c r="U30" s="278" t="s">
        <v>189</v>
      </c>
    </row>
    <row r="31" spans="17:21" ht="15.75" customHeight="1">
      <c r="Q31" s="279">
        <v>1</v>
      </c>
      <c r="R31" s="296">
        <v>2</v>
      </c>
      <c r="S31" s="280">
        <v>3</v>
      </c>
      <c r="T31" s="280">
        <v>4</v>
      </c>
      <c r="U31" s="281">
        <v>5</v>
      </c>
    </row>
    <row r="32" spans="17:21" ht="23.25" customHeight="1">
      <c r="Q32" s="294">
        <v>1</v>
      </c>
      <c r="R32" s="298" t="s">
        <v>190</v>
      </c>
      <c r="S32" s="295" t="s">
        <v>16</v>
      </c>
      <c r="T32" s="271">
        <f>H17</f>
        <v>8</v>
      </c>
      <c r="U32" s="377">
        <v>1</v>
      </c>
    </row>
    <row r="33" spans="17:21" ht="23.25" customHeight="1">
      <c r="Q33" s="294">
        <v>2</v>
      </c>
      <c r="R33" s="299" t="s">
        <v>197</v>
      </c>
      <c r="S33" s="295" t="s">
        <v>16</v>
      </c>
      <c r="T33" s="271">
        <f>H17</f>
        <v>8</v>
      </c>
      <c r="U33" s="378"/>
    </row>
    <row r="34" spans="17:21" ht="23.25" customHeight="1">
      <c r="Q34" s="294">
        <v>3</v>
      </c>
      <c r="R34" s="299" t="s">
        <v>191</v>
      </c>
      <c r="S34" s="295" t="s">
        <v>16</v>
      </c>
      <c r="T34" s="271"/>
      <c r="U34" s="379"/>
    </row>
    <row r="35" spans="17:21" ht="23.25" customHeight="1">
      <c r="Q35" s="294">
        <v>4</v>
      </c>
      <c r="R35" s="298" t="s">
        <v>198</v>
      </c>
      <c r="S35" s="295" t="s">
        <v>88</v>
      </c>
      <c r="T35" s="271">
        <f>T7</f>
        <v>277.00000000000006</v>
      </c>
      <c r="U35" s="377">
        <v>1</v>
      </c>
    </row>
    <row r="36" spans="17:21" ht="23.25" customHeight="1">
      <c r="Q36" s="294">
        <v>5</v>
      </c>
      <c r="R36" s="297" t="s">
        <v>195</v>
      </c>
      <c r="S36" s="295" t="s">
        <v>16</v>
      </c>
      <c r="T36" s="271">
        <f>H17</f>
        <v>8</v>
      </c>
      <c r="U36" s="379"/>
    </row>
  </sheetData>
  <sheetProtection/>
  <mergeCells count="8">
    <mergeCell ref="Q7:Q9"/>
    <mergeCell ref="Q30:R30"/>
    <mergeCell ref="U32:U34"/>
    <mergeCell ref="U35:U36"/>
    <mergeCell ref="I23:P23"/>
    <mergeCell ref="I25:I28"/>
    <mergeCell ref="J28:K28"/>
    <mergeCell ref="L28:O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M39"/>
  <sheetViews>
    <sheetView tabSelected="1" zoomScalePageLayoutView="0" workbookViewId="0" topLeftCell="A1">
      <selection activeCell="M39" sqref="A1:M39"/>
    </sheetView>
  </sheetViews>
  <sheetFormatPr defaultColWidth="9.00390625" defaultRowHeight="12.75"/>
  <cols>
    <col min="1" max="1" width="1.75390625" style="391" customWidth="1"/>
    <col min="2" max="2" width="3.625" style="391" customWidth="1"/>
    <col min="3" max="3" width="44.875" style="392" customWidth="1"/>
    <col min="4" max="4" width="7.375" style="391" customWidth="1"/>
    <col min="5" max="5" width="7.125" style="391" customWidth="1"/>
    <col min="6" max="6" width="8.375" style="391" customWidth="1"/>
    <col min="7" max="7" width="8.00390625" style="391" customWidth="1"/>
    <col min="8" max="8" width="8.375" style="391" customWidth="1"/>
    <col min="9" max="9" width="7.75390625" style="391" customWidth="1"/>
    <col min="10" max="10" width="9.875" style="391" customWidth="1"/>
    <col min="11" max="11" width="8.00390625" style="391" customWidth="1"/>
    <col min="12" max="12" width="8.375" style="391" customWidth="1"/>
    <col min="13" max="13" width="11.25390625" style="391" customWidth="1"/>
    <col min="14" max="16384" width="9.125" style="391" customWidth="1"/>
  </cols>
  <sheetData>
    <row r="2" spans="2:13" s="392" customFormat="1" ht="27.75" customHeight="1">
      <c r="B2" s="393" t="s">
        <v>204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2:13" s="392" customFormat="1" ht="18" customHeight="1">
      <c r="B3" s="394" t="s">
        <v>205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2:13" s="392" customFormat="1" ht="20.25" customHeight="1">
      <c r="B4" s="395"/>
      <c r="C4" s="396"/>
      <c r="D4" s="397"/>
      <c r="E4" s="397"/>
      <c r="F4" s="398"/>
      <c r="G4" s="398"/>
      <c r="H4" s="399"/>
      <c r="I4" s="400"/>
      <c r="J4" s="401"/>
      <c r="K4" s="401"/>
      <c r="L4" s="401"/>
      <c r="M4" s="401"/>
    </row>
    <row r="5" spans="2:13" ht="20.25" customHeight="1">
      <c r="B5" s="435" t="s">
        <v>206</v>
      </c>
      <c r="C5" s="436" t="s">
        <v>207</v>
      </c>
      <c r="D5" s="437" t="s">
        <v>208</v>
      </c>
      <c r="E5" s="438" t="s">
        <v>209</v>
      </c>
      <c r="F5" s="439"/>
      <c r="G5" s="440" t="s">
        <v>210</v>
      </c>
      <c r="H5" s="441"/>
      <c r="I5" s="441"/>
      <c r="J5" s="441"/>
      <c r="K5" s="441"/>
      <c r="L5" s="441"/>
      <c r="M5" s="442"/>
    </row>
    <row r="6" spans="2:13" ht="18.75" customHeight="1">
      <c r="B6" s="443"/>
      <c r="C6" s="444"/>
      <c r="D6" s="445"/>
      <c r="E6" s="437" t="s">
        <v>211</v>
      </c>
      <c r="F6" s="437" t="s">
        <v>212</v>
      </c>
      <c r="G6" s="440" t="s">
        <v>213</v>
      </c>
      <c r="H6" s="442"/>
      <c r="I6" s="440" t="s">
        <v>214</v>
      </c>
      <c r="J6" s="442"/>
      <c r="K6" s="440" t="s">
        <v>215</v>
      </c>
      <c r="L6" s="442"/>
      <c r="M6" s="446" t="s">
        <v>216</v>
      </c>
    </row>
    <row r="7" spans="2:13" ht="20.25" customHeight="1">
      <c r="B7" s="443"/>
      <c r="C7" s="444"/>
      <c r="D7" s="445"/>
      <c r="E7" s="445"/>
      <c r="F7" s="445"/>
      <c r="G7" s="437" t="s">
        <v>217</v>
      </c>
      <c r="H7" s="446" t="s">
        <v>218</v>
      </c>
      <c r="I7" s="437" t="s">
        <v>217</v>
      </c>
      <c r="J7" s="446" t="s">
        <v>218</v>
      </c>
      <c r="K7" s="437" t="s">
        <v>217</v>
      </c>
      <c r="L7" s="446" t="s">
        <v>218</v>
      </c>
      <c r="M7" s="447"/>
    </row>
    <row r="8" spans="2:13" ht="42.75" customHeight="1">
      <c r="B8" s="448"/>
      <c r="C8" s="449"/>
      <c r="D8" s="450"/>
      <c r="E8" s="450"/>
      <c r="F8" s="450"/>
      <c r="G8" s="450"/>
      <c r="H8" s="451"/>
      <c r="I8" s="450"/>
      <c r="J8" s="451"/>
      <c r="K8" s="450"/>
      <c r="L8" s="451"/>
      <c r="M8" s="451"/>
    </row>
    <row r="9" spans="2:13" ht="15">
      <c r="B9" s="452">
        <v>1</v>
      </c>
      <c r="C9" s="453">
        <v>2</v>
      </c>
      <c r="D9" s="452">
        <v>3</v>
      </c>
      <c r="E9" s="452">
        <v>4</v>
      </c>
      <c r="F9" s="452">
        <v>5</v>
      </c>
      <c r="G9" s="452">
        <v>6</v>
      </c>
      <c r="H9" s="452">
        <v>7</v>
      </c>
      <c r="I9" s="452">
        <v>8</v>
      </c>
      <c r="J9" s="452">
        <v>9</v>
      </c>
      <c r="K9" s="452">
        <v>10</v>
      </c>
      <c r="L9" s="452">
        <v>11</v>
      </c>
      <c r="M9" s="452">
        <v>12</v>
      </c>
    </row>
    <row r="10" spans="2:13" ht="45">
      <c r="B10" s="402">
        <v>1</v>
      </c>
      <c r="C10" s="403" t="s">
        <v>234</v>
      </c>
      <c r="D10" s="404" t="s">
        <v>225</v>
      </c>
      <c r="E10" s="404"/>
      <c r="F10" s="404">
        <v>8</v>
      </c>
      <c r="G10" s="405">
        <v>0</v>
      </c>
      <c r="H10" s="405">
        <f aca="true" t="shared" si="0" ref="H10:H16">G10*F10</f>
        <v>0</v>
      </c>
      <c r="I10" s="405">
        <v>0</v>
      </c>
      <c r="J10" s="405">
        <f>F10*I10</f>
        <v>0</v>
      </c>
      <c r="K10" s="405">
        <v>0</v>
      </c>
      <c r="L10" s="405">
        <f aca="true" t="shared" si="1" ref="L10:L16">K10*F10</f>
        <v>0</v>
      </c>
      <c r="M10" s="406">
        <f aca="true" t="shared" si="2" ref="M10:M16">L10+J10+H10</f>
        <v>0</v>
      </c>
    </row>
    <row r="11" spans="2:13" ht="30.75" customHeight="1">
      <c r="B11" s="407">
        <v>2</v>
      </c>
      <c r="C11" s="403" t="s">
        <v>235</v>
      </c>
      <c r="D11" s="404" t="s">
        <v>226</v>
      </c>
      <c r="E11" s="404"/>
      <c r="F11" s="408">
        <v>1.57</v>
      </c>
      <c r="G11" s="405">
        <v>0</v>
      </c>
      <c r="H11" s="405">
        <f t="shared" si="0"/>
        <v>0</v>
      </c>
      <c r="I11" s="405">
        <v>0</v>
      </c>
      <c r="J11" s="405">
        <f>F11*I11</f>
        <v>0</v>
      </c>
      <c r="K11" s="405">
        <v>0</v>
      </c>
      <c r="L11" s="405">
        <f t="shared" si="1"/>
        <v>0</v>
      </c>
      <c r="M11" s="406">
        <f t="shared" si="2"/>
        <v>0</v>
      </c>
    </row>
    <row r="12" spans="2:13" ht="19.5" customHeight="1">
      <c r="B12" s="407"/>
      <c r="C12" s="409" t="s">
        <v>236</v>
      </c>
      <c r="D12" s="404" t="s">
        <v>226</v>
      </c>
      <c r="E12" s="410">
        <v>1.015</v>
      </c>
      <c r="F12" s="411">
        <v>1.594</v>
      </c>
      <c r="G12" s="405">
        <v>0</v>
      </c>
      <c r="H12" s="405">
        <f t="shared" si="0"/>
        <v>0</v>
      </c>
      <c r="I12" s="405">
        <v>0</v>
      </c>
      <c r="J12" s="405">
        <f>F12*I12</f>
        <v>0</v>
      </c>
      <c r="K12" s="405">
        <v>0</v>
      </c>
      <c r="L12" s="405">
        <f t="shared" si="1"/>
        <v>0</v>
      </c>
      <c r="M12" s="406">
        <f t="shared" si="2"/>
        <v>0</v>
      </c>
    </row>
    <row r="13" spans="2:13" ht="30.75" customHeight="1">
      <c r="B13" s="412">
        <v>3</v>
      </c>
      <c r="C13" s="413" t="s">
        <v>250</v>
      </c>
      <c r="D13" s="404" t="s">
        <v>225</v>
      </c>
      <c r="E13" s="404"/>
      <c r="F13" s="414">
        <v>8</v>
      </c>
      <c r="G13" s="405">
        <v>0</v>
      </c>
      <c r="H13" s="405">
        <f t="shared" si="0"/>
        <v>0</v>
      </c>
      <c r="I13" s="405">
        <v>0</v>
      </c>
      <c r="J13" s="405">
        <f>F13*I13</f>
        <v>0</v>
      </c>
      <c r="K13" s="405">
        <v>0</v>
      </c>
      <c r="L13" s="405">
        <f t="shared" si="1"/>
        <v>0</v>
      </c>
      <c r="M13" s="406">
        <f t="shared" si="2"/>
        <v>0</v>
      </c>
    </row>
    <row r="14" spans="2:13" ht="19.5" customHeight="1">
      <c r="B14" s="415"/>
      <c r="C14" s="409" t="s">
        <v>237</v>
      </c>
      <c r="D14" s="410" t="s">
        <v>227</v>
      </c>
      <c r="E14" s="410" t="s">
        <v>233</v>
      </c>
      <c r="F14" s="416">
        <v>80</v>
      </c>
      <c r="G14" s="405">
        <v>0</v>
      </c>
      <c r="H14" s="405">
        <f t="shared" si="0"/>
        <v>0</v>
      </c>
      <c r="I14" s="405">
        <v>0</v>
      </c>
      <c r="J14" s="405">
        <f>I14*F14</f>
        <v>0</v>
      </c>
      <c r="K14" s="405">
        <v>0</v>
      </c>
      <c r="L14" s="405">
        <f t="shared" si="1"/>
        <v>0</v>
      </c>
      <c r="M14" s="406">
        <f t="shared" si="2"/>
        <v>0</v>
      </c>
    </row>
    <row r="15" spans="2:13" ht="19.5" customHeight="1">
      <c r="B15" s="415"/>
      <c r="C15" s="409" t="s">
        <v>238</v>
      </c>
      <c r="D15" s="410" t="s">
        <v>227</v>
      </c>
      <c r="E15" s="410" t="s">
        <v>233</v>
      </c>
      <c r="F15" s="416">
        <v>16</v>
      </c>
      <c r="G15" s="405">
        <v>0</v>
      </c>
      <c r="H15" s="405">
        <f t="shared" si="0"/>
        <v>0</v>
      </c>
      <c r="I15" s="405">
        <v>0</v>
      </c>
      <c r="J15" s="405">
        <f>I15*F15</f>
        <v>0</v>
      </c>
      <c r="K15" s="405">
        <v>0</v>
      </c>
      <c r="L15" s="405">
        <f t="shared" si="1"/>
        <v>0</v>
      </c>
      <c r="M15" s="406">
        <f t="shared" si="2"/>
        <v>0</v>
      </c>
    </row>
    <row r="16" spans="2:13" ht="19.5" customHeight="1">
      <c r="B16" s="415"/>
      <c r="C16" s="409" t="s">
        <v>239</v>
      </c>
      <c r="D16" s="410" t="s">
        <v>227</v>
      </c>
      <c r="E16" s="410" t="s">
        <v>233</v>
      </c>
      <c r="F16" s="410">
        <v>1.6</v>
      </c>
      <c r="G16" s="405">
        <v>0</v>
      </c>
      <c r="H16" s="405">
        <f t="shared" si="0"/>
        <v>0</v>
      </c>
      <c r="I16" s="405">
        <v>0</v>
      </c>
      <c r="J16" s="405">
        <f>I16*F16</f>
        <v>0</v>
      </c>
      <c r="K16" s="405">
        <v>0</v>
      </c>
      <c r="L16" s="405">
        <f t="shared" si="1"/>
        <v>0</v>
      </c>
      <c r="M16" s="406">
        <f t="shared" si="2"/>
        <v>0</v>
      </c>
    </row>
    <row r="17" spans="2:13" ht="33" customHeight="1">
      <c r="B17" s="417"/>
      <c r="C17" s="409" t="s">
        <v>251</v>
      </c>
      <c r="D17" s="410" t="s">
        <v>228</v>
      </c>
      <c r="E17" s="410" t="s">
        <v>233</v>
      </c>
      <c r="F17" s="411">
        <v>0.159</v>
      </c>
      <c r="G17" s="405">
        <v>0</v>
      </c>
      <c r="H17" s="405">
        <f>F17*G17</f>
        <v>0</v>
      </c>
      <c r="I17" s="405">
        <v>0</v>
      </c>
      <c r="J17" s="405">
        <f>F17*I17</f>
        <v>0</v>
      </c>
      <c r="K17" s="405">
        <v>0</v>
      </c>
      <c r="L17" s="405">
        <f>F17*K17</f>
        <v>0</v>
      </c>
      <c r="M17" s="418">
        <f>H17+J17+L17</f>
        <v>0</v>
      </c>
    </row>
    <row r="18" spans="2:13" ht="30">
      <c r="B18" s="417"/>
      <c r="C18" s="409" t="s">
        <v>240</v>
      </c>
      <c r="D18" s="410" t="s">
        <v>229</v>
      </c>
      <c r="E18" s="410" t="s">
        <v>233</v>
      </c>
      <c r="F18" s="411">
        <v>1.44</v>
      </c>
      <c r="G18" s="405">
        <v>0</v>
      </c>
      <c r="H18" s="405">
        <f>F18*G18</f>
        <v>0</v>
      </c>
      <c r="I18" s="405">
        <v>0</v>
      </c>
      <c r="J18" s="405">
        <f>F18*I18</f>
        <v>0</v>
      </c>
      <c r="K18" s="405">
        <v>0</v>
      </c>
      <c r="L18" s="405">
        <f>F18*K18</f>
        <v>0</v>
      </c>
      <c r="M18" s="418">
        <f>H18+J18+L18</f>
        <v>0</v>
      </c>
    </row>
    <row r="19" spans="2:13" ht="35.25" customHeight="1">
      <c r="B19" s="407">
        <v>4</v>
      </c>
      <c r="C19" s="413" t="s">
        <v>241</v>
      </c>
      <c r="D19" s="404" t="s">
        <v>230</v>
      </c>
      <c r="E19" s="404" t="s">
        <v>4</v>
      </c>
      <c r="F19" s="419">
        <v>37.44</v>
      </c>
      <c r="G19" s="405">
        <v>0</v>
      </c>
      <c r="H19" s="405">
        <f>F19*G19</f>
        <v>0</v>
      </c>
      <c r="I19" s="405">
        <v>0</v>
      </c>
      <c r="J19" s="405">
        <f>F19*I19</f>
        <v>0</v>
      </c>
      <c r="K19" s="405">
        <v>0</v>
      </c>
      <c r="L19" s="405">
        <f>F19*K19</f>
        <v>0</v>
      </c>
      <c r="M19" s="418">
        <f>H19+J19+L19</f>
        <v>0</v>
      </c>
    </row>
    <row r="20" spans="2:13" ht="19.5" customHeight="1">
      <c r="B20" s="407"/>
      <c r="C20" s="420" t="s">
        <v>242</v>
      </c>
      <c r="D20" s="421" t="s">
        <v>231</v>
      </c>
      <c r="E20" s="421">
        <v>0.25</v>
      </c>
      <c r="F20" s="422">
        <v>9.36</v>
      </c>
      <c r="G20" s="405">
        <v>0</v>
      </c>
      <c r="H20" s="405">
        <f>F20*G20</f>
        <v>0</v>
      </c>
      <c r="I20" s="405">
        <v>0</v>
      </c>
      <c r="J20" s="405">
        <f>F20*I20</f>
        <v>0</v>
      </c>
      <c r="K20" s="405">
        <v>0</v>
      </c>
      <c r="L20" s="405">
        <f>F20*K20</f>
        <v>0</v>
      </c>
      <c r="M20" s="418">
        <f>H20+J20+L20</f>
        <v>0</v>
      </c>
    </row>
    <row r="21" spans="2:13" ht="27.75" customHeight="1">
      <c r="B21" s="412">
        <v>5</v>
      </c>
      <c r="C21" s="413" t="s">
        <v>243</v>
      </c>
      <c r="D21" s="404" t="s">
        <v>225</v>
      </c>
      <c r="E21" s="404"/>
      <c r="F21" s="414">
        <v>8</v>
      </c>
      <c r="G21" s="405">
        <v>0</v>
      </c>
      <c r="H21" s="405">
        <f>F21*G21</f>
        <v>0</v>
      </c>
      <c r="I21" s="405">
        <v>0</v>
      </c>
      <c r="J21" s="405">
        <f>F21*I21</f>
        <v>0</v>
      </c>
      <c r="K21" s="405">
        <v>0</v>
      </c>
      <c r="L21" s="405">
        <f>F21*K21</f>
        <v>0</v>
      </c>
      <c r="M21" s="418">
        <f>H21+J21+L21</f>
        <v>0</v>
      </c>
    </row>
    <row r="22" spans="2:13" ht="46.5" customHeight="1">
      <c r="B22" s="423"/>
      <c r="C22" s="409" t="s">
        <v>244</v>
      </c>
      <c r="D22" s="410" t="s">
        <v>225</v>
      </c>
      <c r="E22" s="410">
        <v>1</v>
      </c>
      <c r="F22" s="424">
        <v>8</v>
      </c>
      <c r="G22" s="405">
        <v>0</v>
      </c>
      <c r="H22" s="405">
        <f aca="true" t="shared" si="3" ref="H22:H28">G22*F22</f>
        <v>0</v>
      </c>
      <c r="I22" s="405">
        <v>0</v>
      </c>
      <c r="J22" s="405">
        <f aca="true" t="shared" si="4" ref="J22:J28">I22*F22</f>
        <v>0</v>
      </c>
      <c r="K22" s="405">
        <v>0</v>
      </c>
      <c r="L22" s="405">
        <f aca="true" t="shared" si="5" ref="L22:L28">K22*F22</f>
        <v>0</v>
      </c>
      <c r="M22" s="406">
        <f aca="true" t="shared" si="6" ref="M22:M28">L22+J22+H22</f>
        <v>0</v>
      </c>
    </row>
    <row r="23" spans="2:13" ht="31.5" customHeight="1">
      <c r="B23" s="412">
        <v>6</v>
      </c>
      <c r="C23" s="413" t="s">
        <v>245</v>
      </c>
      <c r="D23" s="404" t="s">
        <v>232</v>
      </c>
      <c r="E23" s="404"/>
      <c r="F23" s="425">
        <v>277.00000000000006</v>
      </c>
      <c r="G23" s="405">
        <v>0</v>
      </c>
      <c r="H23" s="405">
        <f t="shared" si="3"/>
        <v>0</v>
      </c>
      <c r="I23" s="405">
        <v>0</v>
      </c>
      <c r="J23" s="405">
        <f t="shared" si="4"/>
        <v>0</v>
      </c>
      <c r="K23" s="405">
        <v>0</v>
      </c>
      <c r="L23" s="405">
        <f t="shared" si="5"/>
        <v>0</v>
      </c>
      <c r="M23" s="406">
        <f t="shared" si="6"/>
        <v>0</v>
      </c>
    </row>
    <row r="24" spans="2:13" ht="30">
      <c r="B24" s="412"/>
      <c r="C24" s="420" t="s">
        <v>252</v>
      </c>
      <c r="D24" s="410" t="s">
        <v>232</v>
      </c>
      <c r="E24" s="410" t="s">
        <v>233</v>
      </c>
      <c r="F24" s="406">
        <v>257</v>
      </c>
      <c r="G24" s="405">
        <v>0</v>
      </c>
      <c r="H24" s="405">
        <f t="shared" si="3"/>
        <v>0</v>
      </c>
      <c r="I24" s="405">
        <v>0</v>
      </c>
      <c r="J24" s="405">
        <f t="shared" si="4"/>
        <v>0</v>
      </c>
      <c r="K24" s="405">
        <v>0</v>
      </c>
      <c r="L24" s="405">
        <f t="shared" si="5"/>
        <v>0</v>
      </c>
      <c r="M24" s="406">
        <f t="shared" si="6"/>
        <v>0</v>
      </c>
    </row>
    <row r="25" spans="2:13" ht="16.5" customHeight="1">
      <c r="B25" s="412"/>
      <c r="C25" s="420" t="s">
        <v>246</v>
      </c>
      <c r="D25" s="410" t="s">
        <v>232</v>
      </c>
      <c r="E25" s="410" t="s">
        <v>233</v>
      </c>
      <c r="F25" s="406">
        <v>20</v>
      </c>
      <c r="G25" s="405">
        <v>0</v>
      </c>
      <c r="H25" s="405">
        <f t="shared" si="3"/>
        <v>0</v>
      </c>
      <c r="I25" s="405">
        <v>0</v>
      </c>
      <c r="J25" s="405">
        <f t="shared" si="4"/>
        <v>0</v>
      </c>
      <c r="K25" s="405">
        <v>0</v>
      </c>
      <c r="L25" s="405">
        <f t="shared" si="5"/>
        <v>0</v>
      </c>
      <c r="M25" s="406">
        <f t="shared" si="6"/>
        <v>0</v>
      </c>
    </row>
    <row r="26" spans="2:13" ht="16.5" customHeight="1">
      <c r="B26" s="412"/>
      <c r="C26" s="409" t="s">
        <v>247</v>
      </c>
      <c r="D26" s="410" t="s">
        <v>225</v>
      </c>
      <c r="E26" s="410" t="s">
        <v>233</v>
      </c>
      <c r="F26" s="424">
        <v>16</v>
      </c>
      <c r="G26" s="405">
        <v>0</v>
      </c>
      <c r="H26" s="405">
        <f t="shared" si="3"/>
        <v>0</v>
      </c>
      <c r="I26" s="405">
        <v>0</v>
      </c>
      <c r="J26" s="405">
        <f t="shared" si="4"/>
        <v>0</v>
      </c>
      <c r="K26" s="405">
        <v>0</v>
      </c>
      <c r="L26" s="405">
        <f t="shared" si="5"/>
        <v>0</v>
      </c>
      <c r="M26" s="406">
        <f t="shared" si="6"/>
        <v>0</v>
      </c>
    </row>
    <row r="27" spans="2:13" ht="16.5" customHeight="1">
      <c r="B27" s="412"/>
      <c r="C27" s="409" t="s">
        <v>248</v>
      </c>
      <c r="D27" s="410" t="s">
        <v>225</v>
      </c>
      <c r="E27" s="410" t="s">
        <v>233</v>
      </c>
      <c r="F27" s="424">
        <v>8</v>
      </c>
      <c r="G27" s="405">
        <v>0</v>
      </c>
      <c r="H27" s="405">
        <f t="shared" si="3"/>
        <v>0</v>
      </c>
      <c r="I27" s="405">
        <v>0</v>
      </c>
      <c r="J27" s="405">
        <f t="shared" si="4"/>
        <v>0</v>
      </c>
      <c r="K27" s="405">
        <v>0</v>
      </c>
      <c r="L27" s="405">
        <f t="shared" si="5"/>
        <v>0</v>
      </c>
      <c r="M27" s="406">
        <f t="shared" si="6"/>
        <v>0</v>
      </c>
    </row>
    <row r="28" spans="2:13" ht="16.5" customHeight="1">
      <c r="B28" s="412"/>
      <c r="C28" s="409" t="s">
        <v>249</v>
      </c>
      <c r="D28" s="410" t="s">
        <v>225</v>
      </c>
      <c r="E28" s="410" t="s">
        <v>233</v>
      </c>
      <c r="F28" s="424">
        <v>2</v>
      </c>
      <c r="G28" s="405">
        <v>0</v>
      </c>
      <c r="H28" s="405">
        <f t="shared" si="3"/>
        <v>0</v>
      </c>
      <c r="I28" s="405">
        <v>0</v>
      </c>
      <c r="J28" s="405">
        <f t="shared" si="4"/>
        <v>0</v>
      </c>
      <c r="K28" s="405">
        <v>0</v>
      </c>
      <c r="L28" s="405">
        <f t="shared" si="5"/>
        <v>0</v>
      </c>
      <c r="M28" s="406">
        <f t="shared" si="6"/>
        <v>0</v>
      </c>
    </row>
    <row r="29" spans="2:13" ht="16.5" customHeight="1">
      <c r="B29" s="426" t="s">
        <v>216</v>
      </c>
      <c r="C29" s="426"/>
      <c r="D29" s="426"/>
      <c r="E29" s="426"/>
      <c r="F29" s="426"/>
      <c r="G29" s="427"/>
      <c r="H29" s="428">
        <f>SUM(H11:H28)</f>
        <v>0</v>
      </c>
      <c r="I29" s="428"/>
      <c r="J29" s="428">
        <f>SUM(J11:J28)</f>
        <v>0</v>
      </c>
      <c r="K29" s="428"/>
      <c r="L29" s="428">
        <f>SUM(L11:L28)</f>
        <v>0</v>
      </c>
      <c r="M29" s="428">
        <f>SUM(M11:M28)</f>
        <v>0</v>
      </c>
    </row>
    <row r="30" spans="2:13" ht="16.5" customHeight="1">
      <c r="B30" s="429" t="s">
        <v>219</v>
      </c>
      <c r="C30" s="429"/>
      <c r="D30" s="429"/>
      <c r="E30" s="429"/>
      <c r="F30" s="429"/>
      <c r="G30" s="430"/>
      <c r="H30" s="428"/>
      <c r="I30" s="428"/>
      <c r="J30" s="428">
        <f>J29*G30</f>
        <v>0</v>
      </c>
      <c r="K30" s="428"/>
      <c r="L30" s="428"/>
      <c r="M30" s="428">
        <f>J30</f>
        <v>0</v>
      </c>
    </row>
    <row r="31" spans="2:13" ht="16.5" customHeight="1">
      <c r="B31" s="431" t="s">
        <v>216</v>
      </c>
      <c r="C31" s="431"/>
      <c r="D31" s="431"/>
      <c r="E31" s="431"/>
      <c r="F31" s="431"/>
      <c r="G31" s="432"/>
      <c r="H31" s="428"/>
      <c r="I31" s="428"/>
      <c r="J31" s="428"/>
      <c r="K31" s="428"/>
      <c r="L31" s="428"/>
      <c r="M31" s="428">
        <f>SUM(M29:M30)</f>
        <v>0</v>
      </c>
    </row>
    <row r="32" spans="2:13" ht="16.5" customHeight="1">
      <c r="B32" s="429" t="s">
        <v>220</v>
      </c>
      <c r="C32" s="429"/>
      <c r="D32" s="429"/>
      <c r="E32" s="429"/>
      <c r="F32" s="429"/>
      <c r="G32" s="430"/>
      <c r="H32" s="428"/>
      <c r="I32" s="428"/>
      <c r="J32" s="428"/>
      <c r="K32" s="428"/>
      <c r="L32" s="428"/>
      <c r="M32" s="428">
        <f>M31*G32</f>
        <v>0</v>
      </c>
    </row>
    <row r="33" spans="2:13" ht="16.5" customHeight="1">
      <c r="B33" s="431" t="s">
        <v>216</v>
      </c>
      <c r="C33" s="431"/>
      <c r="D33" s="431"/>
      <c r="E33" s="431"/>
      <c r="F33" s="431"/>
      <c r="G33" s="433"/>
      <c r="H33" s="428"/>
      <c r="I33" s="428"/>
      <c r="J33" s="428"/>
      <c r="K33" s="428"/>
      <c r="L33" s="428"/>
      <c r="M33" s="428">
        <f>SUM(M31:M32)</f>
        <v>0</v>
      </c>
    </row>
    <row r="34" spans="2:13" ht="16.5" customHeight="1">
      <c r="B34" s="429" t="s">
        <v>221</v>
      </c>
      <c r="C34" s="429"/>
      <c r="D34" s="429"/>
      <c r="E34" s="429"/>
      <c r="F34" s="429"/>
      <c r="G34" s="430"/>
      <c r="H34" s="428"/>
      <c r="I34" s="428"/>
      <c r="J34" s="428"/>
      <c r="K34" s="428"/>
      <c r="L34" s="428"/>
      <c r="M34" s="428">
        <f>M33*G34</f>
        <v>0</v>
      </c>
    </row>
    <row r="35" spans="2:13" ht="16.5" customHeight="1">
      <c r="B35" s="431" t="s">
        <v>216</v>
      </c>
      <c r="C35" s="431"/>
      <c r="D35" s="431"/>
      <c r="E35" s="431"/>
      <c r="F35" s="431"/>
      <c r="G35" s="430"/>
      <c r="H35" s="428"/>
      <c r="I35" s="428"/>
      <c r="J35" s="428"/>
      <c r="K35" s="428"/>
      <c r="L35" s="428"/>
      <c r="M35" s="428">
        <f>SUM(M33:M34)</f>
        <v>0</v>
      </c>
    </row>
    <row r="36" spans="2:13" ht="16.5" customHeight="1">
      <c r="B36" s="429" t="s">
        <v>222</v>
      </c>
      <c r="C36" s="429"/>
      <c r="D36" s="429"/>
      <c r="E36" s="429"/>
      <c r="F36" s="429"/>
      <c r="G36" s="430">
        <v>0.015</v>
      </c>
      <c r="H36" s="428"/>
      <c r="I36" s="428"/>
      <c r="J36" s="428"/>
      <c r="K36" s="428"/>
      <c r="L36" s="428"/>
      <c r="M36" s="428">
        <f>M35*G36</f>
        <v>0</v>
      </c>
    </row>
    <row r="37" spans="2:13" ht="16.5" customHeight="1">
      <c r="B37" s="431" t="s">
        <v>216</v>
      </c>
      <c r="C37" s="431"/>
      <c r="D37" s="431"/>
      <c r="E37" s="431"/>
      <c r="F37" s="431"/>
      <c r="G37" s="430"/>
      <c r="H37" s="428"/>
      <c r="I37" s="428"/>
      <c r="J37" s="428"/>
      <c r="K37" s="428"/>
      <c r="L37" s="428"/>
      <c r="M37" s="428">
        <f>SUM(M35:M36)</f>
        <v>0</v>
      </c>
    </row>
    <row r="38" spans="2:13" ht="16.5" customHeight="1">
      <c r="B38" s="429" t="s">
        <v>223</v>
      </c>
      <c r="C38" s="429"/>
      <c r="D38" s="429"/>
      <c r="E38" s="429"/>
      <c r="F38" s="429"/>
      <c r="G38" s="430">
        <v>0.18</v>
      </c>
      <c r="H38" s="428"/>
      <c r="I38" s="428"/>
      <c r="J38" s="428"/>
      <c r="K38" s="428"/>
      <c r="L38" s="428"/>
      <c r="M38" s="428">
        <f>M37*G38</f>
        <v>0</v>
      </c>
    </row>
    <row r="39" spans="2:13" ht="16.5" customHeight="1">
      <c r="B39" s="431" t="s">
        <v>224</v>
      </c>
      <c r="C39" s="431"/>
      <c r="D39" s="431"/>
      <c r="E39" s="431"/>
      <c r="F39" s="431"/>
      <c r="G39" s="434"/>
      <c r="H39" s="428"/>
      <c r="I39" s="428"/>
      <c r="J39" s="428"/>
      <c r="K39" s="428"/>
      <c r="L39" s="428"/>
      <c r="M39" s="427">
        <f>SUM(M37:M38)</f>
        <v>0</v>
      </c>
    </row>
  </sheetData>
  <sheetProtection/>
  <mergeCells count="31">
    <mergeCell ref="F6:F8"/>
    <mergeCell ref="K7:K8"/>
    <mergeCell ref="B2:M2"/>
    <mergeCell ref="B3:M3"/>
    <mergeCell ref="D4:E4"/>
    <mergeCell ref="B5:B8"/>
    <mergeCell ref="C5:C8"/>
    <mergeCell ref="D5:D8"/>
    <mergeCell ref="E5:F5"/>
    <mergeCell ref="G5:M5"/>
    <mergeCell ref="E6:E8"/>
    <mergeCell ref="B34:F34"/>
    <mergeCell ref="G6:H6"/>
    <mergeCell ref="B29:F29"/>
    <mergeCell ref="I6:J6"/>
    <mergeCell ref="K6:L6"/>
    <mergeCell ref="M6:M8"/>
    <mergeCell ref="G7:G8"/>
    <mergeCell ref="H7:H8"/>
    <mergeCell ref="I7:I8"/>
    <mergeCell ref="J7:J8"/>
    <mergeCell ref="B35:F35"/>
    <mergeCell ref="L7:L8"/>
    <mergeCell ref="B36:F36"/>
    <mergeCell ref="B37:F37"/>
    <mergeCell ref="B38:F38"/>
    <mergeCell ref="B39:F39"/>
    <mergeCell ref="B30:F30"/>
    <mergeCell ref="B31:F31"/>
    <mergeCell ref="B32:F32"/>
    <mergeCell ref="B33:F3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sesili</cp:lastModifiedBy>
  <cp:lastPrinted>2015-02-10T06:03:08Z</cp:lastPrinted>
  <dcterms:created xsi:type="dcterms:W3CDTF">2004-12-20T11:27:35Z</dcterms:created>
  <dcterms:modified xsi:type="dcterms:W3CDTF">2015-02-11T08:24:35Z</dcterms:modified>
  <cp:category/>
  <cp:version/>
  <cp:contentType/>
  <cp:contentStatus/>
</cp:coreProperties>
</file>