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Natia\Desktop\სვანეთი დამი, ილო , ქვედა კოშკი\დამი, ილო, ქვედა კოშკი\"/>
    </mc:Choice>
  </mc:AlternateContent>
  <xr:revisionPtr revIDLastSave="0" documentId="13_ncr:1_{3072B842-4005-4499-AB40-EA0007127AA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ჯამი" sheetId="6" r:id="rId1"/>
    <sheet name="დამი ნიჟარაძის კოშკი" sheetId="3" r:id="rId2"/>
    <sheet name="ილო ნიჟარაძის კოშკი" sheetId="4" r:id="rId3"/>
    <sheet name="თამარის კოშკი" sheetId="5" r:id="rId4"/>
  </sheets>
  <definedNames>
    <definedName name="_xlnm._FilterDatabase" localSheetId="1" hidden="1">'დამი ნიჟარაძის კოშკი'!$A$15:$M$154</definedName>
    <definedName name="_xlnm._FilterDatabase" localSheetId="3" hidden="1">'თამარის კოშკი'!$A$15:$M$172</definedName>
    <definedName name="_xlnm._FilterDatabase" localSheetId="2" hidden="1">'ილო ნიჟარაძის კოშკი'!$A$15:$M$150</definedName>
  </definedNames>
  <calcPr calcId="191029"/>
</workbook>
</file>

<file path=xl/calcChain.xml><?xml version="1.0" encoding="utf-8"?>
<calcChain xmlns="http://schemas.openxmlformats.org/spreadsheetml/2006/main">
  <c r="L160" i="5" l="1"/>
  <c r="M160" i="5" s="1"/>
  <c r="F158" i="5"/>
  <c r="F159" i="5" s="1"/>
  <c r="H159" i="5" s="1"/>
  <c r="M159" i="5" s="1"/>
  <c r="F157" i="5"/>
  <c r="H157" i="5" s="1"/>
  <c r="M157" i="5" s="1"/>
  <c r="F155" i="5"/>
  <c r="J155" i="5" s="1"/>
  <c r="M155" i="5" s="1"/>
  <c r="F154" i="5"/>
  <c r="J154" i="5" s="1"/>
  <c r="M154" i="5" s="1"/>
  <c r="F153" i="5"/>
  <c r="J153" i="5" s="1"/>
  <c r="M153" i="5" s="1"/>
  <c r="F152" i="5"/>
  <c r="L152" i="5" s="1"/>
  <c r="M152" i="5" s="1"/>
  <c r="F151" i="5"/>
  <c r="H151" i="5" s="1"/>
  <c r="M151" i="5" s="1"/>
  <c r="F149" i="5"/>
  <c r="J149" i="5" s="1"/>
  <c r="M149" i="5" s="1"/>
  <c r="E149" i="5"/>
  <c r="F148" i="5"/>
  <c r="J148" i="5" s="1"/>
  <c r="M148" i="5" s="1"/>
  <c r="E148" i="5"/>
  <c r="F147" i="5"/>
  <c r="L147" i="5" s="1"/>
  <c r="M147" i="5" s="1"/>
  <c r="E147" i="5"/>
  <c r="F146" i="5"/>
  <c r="H146" i="5" s="1"/>
  <c r="M146" i="5" s="1"/>
  <c r="F144" i="5"/>
  <c r="J144" i="5" s="1"/>
  <c r="M144" i="5" s="1"/>
  <c r="F143" i="5"/>
  <c r="J143" i="5" s="1"/>
  <c r="M143" i="5" s="1"/>
  <c r="J142" i="5"/>
  <c r="M142" i="5" s="1"/>
  <c r="F141" i="5"/>
  <c r="L141" i="5" s="1"/>
  <c r="M141" i="5" s="1"/>
  <c r="F140" i="5"/>
  <c r="H140" i="5" s="1"/>
  <c r="M140" i="5" s="1"/>
  <c r="E140" i="5"/>
  <c r="F138" i="5"/>
  <c r="J138" i="5" s="1"/>
  <c r="M138" i="5" s="1"/>
  <c r="F137" i="5"/>
  <c r="J137" i="5" s="1"/>
  <c r="M137" i="5" s="1"/>
  <c r="F136" i="5"/>
  <c r="H136" i="5" s="1"/>
  <c r="M136" i="5" s="1"/>
  <c r="E136" i="5"/>
  <c r="F134" i="5"/>
  <c r="F133" i="5"/>
  <c r="F132" i="5"/>
  <c r="F131" i="5"/>
  <c r="F130" i="5"/>
  <c r="F129" i="5"/>
  <c r="F128" i="5"/>
  <c r="L128" i="5" s="1"/>
  <c r="M128" i="5" s="1"/>
  <c r="F127" i="5"/>
  <c r="H127" i="5" s="1"/>
  <c r="M127" i="5" s="1"/>
  <c r="E125" i="5"/>
  <c r="F125" i="5" s="1"/>
  <c r="H125" i="5" s="1"/>
  <c r="M125" i="5" s="1"/>
  <c r="F123" i="5"/>
  <c r="J123" i="5" s="1"/>
  <c r="M123" i="5" s="1"/>
  <c r="F122" i="5"/>
  <c r="J122" i="5" s="1"/>
  <c r="M122" i="5" s="1"/>
  <c r="F121" i="5"/>
  <c r="J121" i="5" s="1"/>
  <c r="M121" i="5" s="1"/>
  <c r="E120" i="5"/>
  <c r="F120" i="5" s="1"/>
  <c r="J120" i="5" s="1"/>
  <c r="M120" i="5" s="1"/>
  <c r="E119" i="5"/>
  <c r="F119" i="5" s="1"/>
  <c r="H119" i="5" s="1"/>
  <c r="M119" i="5" s="1"/>
  <c r="F117" i="5"/>
  <c r="J117" i="5" s="1"/>
  <c r="M117" i="5" s="1"/>
  <c r="F116" i="5"/>
  <c r="J116" i="5" s="1"/>
  <c r="M116" i="5" s="1"/>
  <c r="F113" i="5"/>
  <c r="F114" i="5" s="1"/>
  <c r="H114" i="5" s="1"/>
  <c r="M114" i="5" s="1"/>
  <c r="E112" i="5"/>
  <c r="F112" i="5" s="1"/>
  <c r="H112" i="5" s="1"/>
  <c r="M112" i="5" s="1"/>
  <c r="F110" i="5"/>
  <c r="H110" i="5" s="1"/>
  <c r="M110" i="5" s="1"/>
  <c r="E108" i="5"/>
  <c r="F108" i="5" s="1"/>
  <c r="H108" i="5" s="1"/>
  <c r="M108" i="5" s="1"/>
  <c r="F106" i="5"/>
  <c r="J106" i="5" s="1"/>
  <c r="M106" i="5" s="1"/>
  <c r="F105" i="5"/>
  <c r="L105" i="5" s="1"/>
  <c r="M105" i="5" s="1"/>
  <c r="F104" i="5"/>
  <c r="H104" i="5" s="1"/>
  <c r="M104" i="5" s="1"/>
  <c r="F102" i="5"/>
  <c r="F101" i="5"/>
  <c r="J101" i="5" s="1"/>
  <c r="M101" i="5" s="1"/>
  <c r="F100" i="5"/>
  <c r="F99" i="5"/>
  <c r="H99" i="5" s="1"/>
  <c r="M99" i="5" s="1"/>
  <c r="E99" i="5"/>
  <c r="F97" i="5"/>
  <c r="F96" i="5"/>
  <c r="L96" i="5" s="1"/>
  <c r="M96" i="5" s="1"/>
  <c r="F95" i="5"/>
  <c r="H95" i="5" s="1"/>
  <c r="M95" i="5" s="1"/>
  <c r="F93" i="5"/>
  <c r="J93" i="5" s="1"/>
  <c r="M93" i="5" s="1"/>
  <c r="F92" i="5"/>
  <c r="J92" i="5" s="1"/>
  <c r="M92" i="5" s="1"/>
  <c r="F91" i="5"/>
  <c r="J91" i="5" s="1"/>
  <c r="M91" i="5" s="1"/>
  <c r="F90" i="5"/>
  <c r="J90" i="5" s="1"/>
  <c r="M90" i="5" s="1"/>
  <c r="F89" i="5"/>
  <c r="J89" i="5" s="1"/>
  <c r="M89" i="5" s="1"/>
  <c r="F88" i="5"/>
  <c r="L88" i="5" s="1"/>
  <c r="M88" i="5" s="1"/>
  <c r="F87" i="5"/>
  <c r="H87" i="5" s="1"/>
  <c r="M87" i="5" s="1"/>
  <c r="F85" i="5"/>
  <c r="J85" i="5" s="1"/>
  <c r="M85" i="5" s="1"/>
  <c r="F84" i="5"/>
  <c r="F83" i="5"/>
  <c r="J83" i="5" s="1"/>
  <c r="M83" i="5" s="1"/>
  <c r="F82" i="5"/>
  <c r="J82" i="5" s="1"/>
  <c r="M82" i="5" s="1"/>
  <c r="F81" i="5"/>
  <c r="L81" i="5" s="1"/>
  <c r="M81" i="5" s="1"/>
  <c r="F80" i="5"/>
  <c r="H80" i="5" s="1"/>
  <c r="M80" i="5" s="1"/>
  <c r="F78" i="5"/>
  <c r="J78" i="5" s="1"/>
  <c r="M78" i="5" s="1"/>
  <c r="F77" i="5"/>
  <c r="J77" i="5" s="1"/>
  <c r="M77" i="5" s="1"/>
  <c r="F76" i="5"/>
  <c r="J76" i="5" s="1"/>
  <c r="M76" i="5" s="1"/>
  <c r="J75" i="5"/>
  <c r="M75" i="5" s="1"/>
  <c r="F75" i="5"/>
  <c r="E74" i="5"/>
  <c r="F74" i="5" s="1"/>
  <c r="H74" i="5" s="1"/>
  <c r="M74" i="5" s="1"/>
  <c r="F72" i="5"/>
  <c r="J72" i="5" s="1"/>
  <c r="M72" i="5" s="1"/>
  <c r="J71" i="5"/>
  <c r="M71" i="5" s="1"/>
  <c r="F70" i="5"/>
  <c r="F69" i="5"/>
  <c r="L69" i="5" s="1"/>
  <c r="M69" i="5" s="1"/>
  <c r="F68" i="5"/>
  <c r="H68" i="5" s="1"/>
  <c r="M68" i="5" s="1"/>
  <c r="F66" i="5"/>
  <c r="J66" i="5" s="1"/>
  <c r="M66" i="5" s="1"/>
  <c r="J65" i="5"/>
  <c r="M65" i="5" s="1"/>
  <c r="E64" i="5"/>
  <c r="F64" i="5" s="1"/>
  <c r="H64" i="5" s="1"/>
  <c r="M64" i="5" s="1"/>
  <c r="F62" i="5"/>
  <c r="J62" i="5" s="1"/>
  <c r="M62" i="5" s="1"/>
  <c r="F61" i="5"/>
  <c r="J61" i="5" s="1"/>
  <c r="M61" i="5" s="1"/>
  <c r="F60" i="5"/>
  <c r="J60" i="5" s="1"/>
  <c r="M60" i="5" s="1"/>
  <c r="F59" i="5"/>
  <c r="J59" i="5" s="1"/>
  <c r="M59" i="5" s="1"/>
  <c r="J58" i="5"/>
  <c r="M58" i="5" s="1"/>
  <c r="F57" i="5"/>
  <c r="H57" i="5" s="1"/>
  <c r="M57" i="5" s="1"/>
  <c r="E57" i="5"/>
  <c r="F55" i="5"/>
  <c r="L55" i="5" s="1"/>
  <c r="M55" i="5" s="1"/>
  <c r="F54" i="5"/>
  <c r="H54" i="5" s="1"/>
  <c r="M54" i="5" s="1"/>
  <c r="F52" i="5"/>
  <c r="J52" i="5" s="1"/>
  <c r="M52" i="5" s="1"/>
  <c r="F51" i="5"/>
  <c r="J51" i="5" s="1"/>
  <c r="M51" i="5" s="1"/>
  <c r="F50" i="5"/>
  <c r="J50" i="5" s="1"/>
  <c r="M50" i="5" s="1"/>
  <c r="E49" i="5"/>
  <c r="F49" i="5" s="1"/>
  <c r="H49" i="5" s="1"/>
  <c r="M49" i="5" s="1"/>
  <c r="F47" i="5"/>
  <c r="J47" i="5" s="1"/>
  <c r="M47" i="5" s="1"/>
  <c r="F46" i="5"/>
  <c r="J46" i="5" s="1"/>
  <c r="M46" i="5" s="1"/>
  <c r="F45" i="5"/>
  <c r="J45" i="5" s="1"/>
  <c r="M45" i="5" s="1"/>
  <c r="F44" i="5"/>
  <c r="J44" i="5" s="1"/>
  <c r="M44" i="5" s="1"/>
  <c r="M43" i="5"/>
  <c r="F43" i="5"/>
  <c r="F42" i="5"/>
  <c r="H42" i="5" s="1"/>
  <c r="M42" i="5" s="1"/>
  <c r="E42" i="5"/>
  <c r="J40" i="5"/>
  <c r="M40" i="5" s="1"/>
  <c r="J39" i="5"/>
  <c r="M39" i="5" s="1"/>
  <c r="E38" i="5"/>
  <c r="F38" i="5" s="1"/>
  <c r="H38" i="5" s="1"/>
  <c r="M38" i="5" s="1"/>
  <c r="J36" i="5"/>
  <c r="M36" i="5" s="1"/>
  <c r="F36" i="5"/>
  <c r="J35" i="5"/>
  <c r="M35" i="5" s="1"/>
  <c r="E34" i="5"/>
  <c r="F34" i="5" s="1"/>
  <c r="H34" i="5" s="1"/>
  <c r="M34" i="5" s="1"/>
  <c r="F32" i="5"/>
  <c r="J32" i="5" s="1"/>
  <c r="M32" i="5" s="1"/>
  <c r="E32" i="5"/>
  <c r="E31" i="5"/>
  <c r="E28" i="5"/>
  <c r="E27" i="5"/>
  <c r="F26" i="5"/>
  <c r="F31" i="5" s="1"/>
  <c r="J31" i="5" s="1"/>
  <c r="M31" i="5" s="1"/>
  <c r="J21" i="5"/>
  <c r="M21" i="5" s="1"/>
  <c r="J20" i="5"/>
  <c r="F20" i="5"/>
  <c r="E19" i="5"/>
  <c r="F18" i="5"/>
  <c r="F19" i="5" s="1"/>
  <c r="H19" i="5" s="1"/>
  <c r="M19" i="5" s="1"/>
  <c r="E17" i="5"/>
  <c r="F17" i="5" s="1"/>
  <c r="H17" i="5" s="1"/>
  <c r="L138" i="4"/>
  <c r="M138" i="4" s="1"/>
  <c r="F137" i="4"/>
  <c r="H137" i="4" s="1"/>
  <c r="M137" i="4" s="1"/>
  <c r="F135" i="4"/>
  <c r="H135" i="4" s="1"/>
  <c r="M135" i="4" s="1"/>
  <c r="E133" i="4"/>
  <c r="F133" i="4" s="1"/>
  <c r="H133" i="4" s="1"/>
  <c r="M133" i="4" s="1"/>
  <c r="F131" i="4"/>
  <c r="J131" i="4" s="1"/>
  <c r="M131" i="4" s="1"/>
  <c r="F130" i="4"/>
  <c r="J130" i="4" s="1"/>
  <c r="M130" i="4" s="1"/>
  <c r="F129" i="4"/>
  <c r="J129" i="4" s="1"/>
  <c r="M129" i="4" s="1"/>
  <c r="E128" i="4"/>
  <c r="F128" i="4" s="1"/>
  <c r="J128" i="4" s="1"/>
  <c r="M128" i="4" s="1"/>
  <c r="F127" i="4"/>
  <c r="H127" i="4" s="1"/>
  <c r="M127" i="4" s="1"/>
  <c r="E127" i="4"/>
  <c r="F121" i="4"/>
  <c r="F123" i="4" s="1"/>
  <c r="L123" i="4" s="1"/>
  <c r="M123" i="4" s="1"/>
  <c r="E120" i="4"/>
  <c r="F120" i="4" s="1"/>
  <c r="H120" i="4" s="1"/>
  <c r="M120" i="4" s="1"/>
  <c r="E118" i="4"/>
  <c r="F118" i="4" s="1"/>
  <c r="H118" i="4" s="1"/>
  <c r="M118" i="4" s="1"/>
  <c r="F116" i="4"/>
  <c r="J116" i="4" s="1"/>
  <c r="M116" i="4" s="1"/>
  <c r="F115" i="4"/>
  <c r="L115" i="4" s="1"/>
  <c r="M115" i="4" s="1"/>
  <c r="F114" i="4"/>
  <c r="H114" i="4" s="1"/>
  <c r="M114" i="4" s="1"/>
  <c r="F112" i="4"/>
  <c r="J112" i="4" s="1"/>
  <c r="M112" i="4" s="1"/>
  <c r="F111" i="4"/>
  <c r="J111" i="4" s="1"/>
  <c r="M111" i="4" s="1"/>
  <c r="F110" i="4"/>
  <c r="J110" i="4" s="1"/>
  <c r="M110" i="4" s="1"/>
  <c r="E109" i="4"/>
  <c r="F109" i="4" s="1"/>
  <c r="H109" i="4" s="1"/>
  <c r="M109" i="4" s="1"/>
  <c r="F107" i="4"/>
  <c r="J107" i="4" s="1"/>
  <c r="M107" i="4" s="1"/>
  <c r="F106" i="4"/>
  <c r="L106" i="4" s="1"/>
  <c r="M106" i="4" s="1"/>
  <c r="F105" i="4"/>
  <c r="H105" i="4" s="1"/>
  <c r="M105" i="4" s="1"/>
  <c r="F103" i="4"/>
  <c r="F102" i="4"/>
  <c r="F101" i="4"/>
  <c r="F100" i="4"/>
  <c r="F99" i="4"/>
  <c r="F98" i="4"/>
  <c r="L98" i="4" s="1"/>
  <c r="M98" i="4" s="1"/>
  <c r="F97" i="4"/>
  <c r="H97" i="4" s="1"/>
  <c r="M97" i="4" s="1"/>
  <c r="F95" i="4"/>
  <c r="J95" i="4" s="1"/>
  <c r="M95" i="4" s="1"/>
  <c r="F94" i="4"/>
  <c r="J94" i="4" s="1"/>
  <c r="M94" i="4" s="1"/>
  <c r="F93" i="4"/>
  <c r="J93" i="4" s="1"/>
  <c r="M93" i="4" s="1"/>
  <c r="F92" i="4"/>
  <c r="J92" i="4" s="1"/>
  <c r="M92" i="4" s="1"/>
  <c r="F91" i="4"/>
  <c r="L91" i="4" s="1"/>
  <c r="M91" i="4" s="1"/>
  <c r="F90" i="4"/>
  <c r="H90" i="4" s="1"/>
  <c r="M90" i="4" s="1"/>
  <c r="F88" i="4"/>
  <c r="J88" i="4" s="1"/>
  <c r="M88" i="4" s="1"/>
  <c r="F87" i="4"/>
  <c r="J87" i="4" s="1"/>
  <c r="M87" i="4" s="1"/>
  <c r="F86" i="4"/>
  <c r="J86" i="4" s="1"/>
  <c r="M86" i="4" s="1"/>
  <c r="J85" i="4"/>
  <c r="M85" i="4" s="1"/>
  <c r="E84" i="4"/>
  <c r="F84" i="4" s="1"/>
  <c r="H84" i="4" s="1"/>
  <c r="M84" i="4" s="1"/>
  <c r="F82" i="4"/>
  <c r="J82" i="4" s="1"/>
  <c r="M82" i="4" s="1"/>
  <c r="J81" i="4"/>
  <c r="M81" i="4" s="1"/>
  <c r="J80" i="4"/>
  <c r="M80" i="4" s="1"/>
  <c r="F80" i="4"/>
  <c r="F79" i="4"/>
  <c r="L79" i="4" s="1"/>
  <c r="M79" i="4" s="1"/>
  <c r="F78" i="4"/>
  <c r="H78" i="4" s="1"/>
  <c r="M78" i="4" s="1"/>
  <c r="F76" i="4"/>
  <c r="J76" i="4" s="1"/>
  <c r="M76" i="4" s="1"/>
  <c r="J75" i="4"/>
  <c r="M75" i="4" s="1"/>
  <c r="E74" i="4"/>
  <c r="F74" i="4" s="1"/>
  <c r="H74" i="4" s="1"/>
  <c r="M74" i="4" s="1"/>
  <c r="F72" i="4"/>
  <c r="J72" i="4" s="1"/>
  <c r="M72" i="4" s="1"/>
  <c r="F71" i="4"/>
  <c r="J71" i="4" s="1"/>
  <c r="M71" i="4" s="1"/>
  <c r="F70" i="4"/>
  <c r="J70" i="4" s="1"/>
  <c r="M70" i="4" s="1"/>
  <c r="F69" i="4"/>
  <c r="J69" i="4" s="1"/>
  <c r="M69" i="4" s="1"/>
  <c r="J68" i="4"/>
  <c r="M68" i="4" s="1"/>
  <c r="E67" i="4"/>
  <c r="F67" i="4" s="1"/>
  <c r="H67" i="4" s="1"/>
  <c r="M67" i="4" s="1"/>
  <c r="F65" i="4"/>
  <c r="L65" i="4" s="1"/>
  <c r="M65" i="4" s="1"/>
  <c r="F64" i="4"/>
  <c r="H64" i="4" s="1"/>
  <c r="M64" i="4" s="1"/>
  <c r="F62" i="4"/>
  <c r="J62" i="4" s="1"/>
  <c r="M62" i="4" s="1"/>
  <c r="F61" i="4"/>
  <c r="J61" i="4" s="1"/>
  <c r="M61" i="4" s="1"/>
  <c r="F60" i="4"/>
  <c r="J60" i="4" s="1"/>
  <c r="M60" i="4" s="1"/>
  <c r="E59" i="4"/>
  <c r="F59" i="4" s="1"/>
  <c r="H59" i="4" s="1"/>
  <c r="M59" i="4" s="1"/>
  <c r="F57" i="4"/>
  <c r="J57" i="4" s="1"/>
  <c r="M57" i="4" s="1"/>
  <c r="F56" i="4"/>
  <c r="J56" i="4" s="1"/>
  <c r="M56" i="4" s="1"/>
  <c r="F55" i="4"/>
  <c r="J55" i="4" s="1"/>
  <c r="M55" i="4" s="1"/>
  <c r="F54" i="4"/>
  <c r="J54" i="4" s="1"/>
  <c r="M54" i="4" s="1"/>
  <c r="F53" i="4"/>
  <c r="J53" i="4" s="1"/>
  <c r="M53" i="4" s="1"/>
  <c r="E52" i="4"/>
  <c r="F52" i="4" s="1"/>
  <c r="H52" i="4" s="1"/>
  <c r="M52" i="4" s="1"/>
  <c r="F50" i="4"/>
  <c r="J50" i="4" s="1"/>
  <c r="M50" i="4" s="1"/>
  <c r="F49" i="4"/>
  <c r="J49" i="4" s="1"/>
  <c r="M49" i="4" s="1"/>
  <c r="F48" i="4"/>
  <c r="J48" i="4" s="1"/>
  <c r="M48" i="4" s="1"/>
  <c r="F47" i="4"/>
  <c r="J47" i="4" s="1"/>
  <c r="M47" i="4" s="1"/>
  <c r="M46" i="4"/>
  <c r="F46" i="4"/>
  <c r="E45" i="4"/>
  <c r="F45" i="4" s="1"/>
  <c r="H45" i="4" s="1"/>
  <c r="M45" i="4" s="1"/>
  <c r="J43" i="4"/>
  <c r="M43" i="4" s="1"/>
  <c r="J42" i="4"/>
  <c r="M42" i="4" s="1"/>
  <c r="E41" i="4"/>
  <c r="F41" i="4" s="1"/>
  <c r="H41" i="4" s="1"/>
  <c r="M41" i="4" s="1"/>
  <c r="E39" i="4"/>
  <c r="F39" i="4" s="1"/>
  <c r="J39" i="4" s="1"/>
  <c r="M39" i="4" s="1"/>
  <c r="E38" i="4"/>
  <c r="F38" i="4" s="1"/>
  <c r="J38" i="4" s="1"/>
  <c r="M38" i="4" s="1"/>
  <c r="F37" i="4"/>
  <c r="F36" i="4"/>
  <c r="E35" i="4"/>
  <c r="F35" i="4" s="1"/>
  <c r="L35" i="4" s="1"/>
  <c r="E34" i="4"/>
  <c r="F34" i="4" s="1"/>
  <c r="H34" i="4" s="1"/>
  <c r="M34" i="4" s="1"/>
  <c r="F28" i="4"/>
  <c r="J28" i="4" s="1"/>
  <c r="M28" i="4" s="1"/>
  <c r="E27" i="4"/>
  <c r="F26" i="4"/>
  <c r="F32" i="4" s="1"/>
  <c r="J32" i="4" s="1"/>
  <c r="M32" i="4" s="1"/>
  <c r="J21" i="4"/>
  <c r="M21" i="4" s="1"/>
  <c r="F20" i="4"/>
  <c r="J20" i="4" s="1"/>
  <c r="E19" i="4"/>
  <c r="F19" i="4" s="1"/>
  <c r="H19" i="4" s="1"/>
  <c r="M19" i="4" s="1"/>
  <c r="F18" i="4"/>
  <c r="F25" i="4" s="1"/>
  <c r="J25" i="4" s="1"/>
  <c r="M25" i="4" s="1"/>
  <c r="E17" i="4"/>
  <c r="F17" i="4" s="1"/>
  <c r="H17" i="4" s="1"/>
  <c r="M17" i="4" s="1"/>
  <c r="J100" i="5" l="1"/>
  <c r="M100" i="5" s="1"/>
  <c r="J102" i="5"/>
  <c r="M102" i="5" s="1"/>
  <c r="J84" i="5"/>
  <c r="M84" i="5" s="1"/>
  <c r="J97" i="5"/>
  <c r="M97" i="5" s="1"/>
  <c r="J129" i="5"/>
  <c r="M129" i="5" s="1"/>
  <c r="J131" i="5"/>
  <c r="M131" i="5" s="1"/>
  <c r="J133" i="5"/>
  <c r="M133" i="5" s="1"/>
  <c r="J70" i="5"/>
  <c r="M70" i="5" s="1"/>
  <c r="J130" i="5"/>
  <c r="M130" i="5" s="1"/>
  <c r="J132" i="5"/>
  <c r="M132" i="5" s="1"/>
  <c r="J134" i="5"/>
  <c r="M134" i="5" s="1"/>
  <c r="F27" i="4"/>
  <c r="H27" i="4" s="1"/>
  <c r="M27" i="4" s="1"/>
  <c r="J36" i="4"/>
  <c r="M36" i="4" s="1"/>
  <c r="J100" i="4"/>
  <c r="M100" i="4" s="1"/>
  <c r="J102" i="4"/>
  <c r="M102" i="4" s="1"/>
  <c r="J37" i="4"/>
  <c r="M37" i="4" s="1"/>
  <c r="J99" i="4"/>
  <c r="M99" i="4" s="1"/>
  <c r="J101" i="4"/>
  <c r="M101" i="4" s="1"/>
  <c r="J103" i="4"/>
  <c r="M103" i="4" s="1"/>
  <c r="M20" i="5"/>
  <c r="M17" i="5"/>
  <c r="F22" i="5"/>
  <c r="J22" i="5" s="1"/>
  <c r="M22" i="5" s="1"/>
  <c r="F23" i="5"/>
  <c r="J23" i="5" s="1"/>
  <c r="M23" i="5" s="1"/>
  <c r="F24" i="5"/>
  <c r="J24" i="5" s="1"/>
  <c r="M24" i="5" s="1"/>
  <c r="F25" i="5"/>
  <c r="J25" i="5" s="1"/>
  <c r="M25" i="5" s="1"/>
  <c r="F115" i="5"/>
  <c r="L115" i="5" s="1"/>
  <c r="M115" i="5" s="1"/>
  <c r="F29" i="5"/>
  <c r="J29" i="5" s="1"/>
  <c r="M29" i="5" s="1"/>
  <c r="F30" i="5"/>
  <c r="J30" i="5" s="1"/>
  <c r="M30" i="5" s="1"/>
  <c r="F27" i="5"/>
  <c r="H27" i="5" s="1"/>
  <c r="M27" i="5" s="1"/>
  <c r="F28" i="5"/>
  <c r="L28" i="5" s="1"/>
  <c r="L139" i="4"/>
  <c r="M35" i="4"/>
  <c r="M20" i="4"/>
  <c r="F122" i="4"/>
  <c r="H122" i="4" s="1"/>
  <c r="M122" i="4" s="1"/>
  <c r="F22" i="4"/>
  <c r="J22" i="4" s="1"/>
  <c r="M22" i="4" s="1"/>
  <c r="F23" i="4"/>
  <c r="J23" i="4" s="1"/>
  <c r="M23" i="4" s="1"/>
  <c r="F24" i="4"/>
  <c r="J24" i="4" s="1"/>
  <c r="M24" i="4" s="1"/>
  <c r="F29" i="4"/>
  <c r="J29" i="4" s="1"/>
  <c r="M29" i="4" s="1"/>
  <c r="F30" i="4"/>
  <c r="J30" i="4" s="1"/>
  <c r="M30" i="4" s="1"/>
  <c r="F31" i="4"/>
  <c r="J31" i="4" s="1"/>
  <c r="M31" i="4" s="1"/>
  <c r="F124" i="4"/>
  <c r="J124" i="4" s="1"/>
  <c r="M124" i="4" s="1"/>
  <c r="F125" i="4"/>
  <c r="J125" i="4" s="1"/>
  <c r="M125" i="4" s="1"/>
  <c r="H139" i="4" l="1"/>
  <c r="H140" i="4" s="1"/>
  <c r="H142" i="4" s="1"/>
  <c r="M139" i="4"/>
  <c r="H161" i="5"/>
  <c r="L161" i="5"/>
  <c r="M28" i="5"/>
  <c r="M161" i="5" s="1"/>
  <c r="J161" i="5"/>
  <c r="J139" i="4"/>
  <c r="L140" i="4"/>
  <c r="L162" i="5" l="1"/>
  <c r="L163" i="5"/>
  <c r="M163" i="5" s="1"/>
  <c r="J164" i="5"/>
  <c r="H162" i="5"/>
  <c r="H164" i="5" s="1"/>
  <c r="H143" i="4"/>
  <c r="L11" i="4"/>
  <c r="L141" i="4"/>
  <c r="M141" i="4" s="1"/>
  <c r="J142" i="4"/>
  <c r="M140" i="4"/>
  <c r="L164" i="5" l="1"/>
  <c r="L165" i="5" s="1"/>
  <c r="L166" i="5" s="1"/>
  <c r="M142" i="4"/>
  <c r="H165" i="5"/>
  <c r="H166" i="5" s="1"/>
  <c r="L11" i="5"/>
  <c r="J165" i="5"/>
  <c r="J166" i="5" s="1"/>
  <c r="M162" i="5"/>
  <c r="M164" i="5" s="1"/>
  <c r="J143" i="4"/>
  <c r="H144" i="4"/>
  <c r="L142" i="4"/>
  <c r="J167" i="5" l="1"/>
  <c r="J168" i="5" s="1"/>
  <c r="L167" i="5"/>
  <c r="L168" i="5" s="1"/>
  <c r="M166" i="5"/>
  <c r="H167" i="5"/>
  <c r="H168" i="5" s="1"/>
  <c r="M165" i="5"/>
  <c r="H145" i="4"/>
  <c r="J144" i="4"/>
  <c r="L143" i="4"/>
  <c r="M143" i="4" s="1"/>
  <c r="M168" i="5" l="1"/>
  <c r="M167" i="5"/>
  <c r="H146" i="4"/>
  <c r="L144" i="4"/>
  <c r="J145" i="4"/>
  <c r="J146" i="4" s="1"/>
  <c r="M169" i="5" l="1"/>
  <c r="M170" i="5" s="1"/>
  <c r="L145" i="4"/>
  <c r="M145" i="4" s="1"/>
  <c r="M144" i="4"/>
  <c r="M171" i="5" l="1"/>
  <c r="M172" i="5" s="1"/>
  <c r="L10" i="5" s="1"/>
  <c r="C4" i="6" s="1"/>
  <c r="L146" i="4"/>
  <c r="M146" i="4" s="1"/>
  <c r="M147" i="4" l="1"/>
  <c r="M148" i="4" s="1"/>
  <c r="M149" i="4" l="1"/>
  <c r="M150" i="4" s="1"/>
  <c r="L10" i="4" s="1"/>
  <c r="C3" i="6" s="1"/>
  <c r="L142" i="3" l="1"/>
  <c r="M142" i="3" s="1"/>
  <c r="F141" i="3"/>
  <c r="H141" i="3" s="1"/>
  <c r="M141" i="3" s="1"/>
  <c r="F139" i="3"/>
  <c r="H139" i="3" s="1"/>
  <c r="M139" i="3" s="1"/>
  <c r="E137" i="3"/>
  <c r="F137" i="3" s="1"/>
  <c r="H137" i="3" s="1"/>
  <c r="M137" i="3" s="1"/>
  <c r="F135" i="3"/>
  <c r="J135" i="3" s="1"/>
  <c r="M135" i="3" s="1"/>
  <c r="F134" i="3"/>
  <c r="J134" i="3" s="1"/>
  <c r="M134" i="3" s="1"/>
  <c r="F133" i="3"/>
  <c r="E132" i="3"/>
  <c r="F132" i="3" s="1"/>
  <c r="J132" i="3" s="1"/>
  <c r="M132" i="3" s="1"/>
  <c r="E131" i="3"/>
  <c r="F131" i="3" s="1"/>
  <c r="H131" i="3" s="1"/>
  <c r="M131" i="3" s="1"/>
  <c r="F128" i="3"/>
  <c r="J128" i="3" s="1"/>
  <c r="M128" i="3" s="1"/>
  <c r="F125" i="3"/>
  <c r="F127" i="3" s="1"/>
  <c r="L127" i="3" s="1"/>
  <c r="M127" i="3" s="1"/>
  <c r="E124" i="3"/>
  <c r="F124" i="3" s="1"/>
  <c r="H124" i="3" s="1"/>
  <c r="M124" i="3" s="1"/>
  <c r="F122" i="3"/>
  <c r="H122" i="3" s="1"/>
  <c r="M122" i="3" s="1"/>
  <c r="E122" i="3"/>
  <c r="F120" i="3"/>
  <c r="J120" i="3" s="1"/>
  <c r="M120" i="3" s="1"/>
  <c r="F119" i="3"/>
  <c r="L119" i="3" s="1"/>
  <c r="M119" i="3" s="1"/>
  <c r="F118" i="3"/>
  <c r="F116" i="3"/>
  <c r="F115" i="3"/>
  <c r="F114" i="3"/>
  <c r="E113" i="3"/>
  <c r="F113" i="3" s="1"/>
  <c r="H113" i="3" s="1"/>
  <c r="M113" i="3" s="1"/>
  <c r="F111" i="3"/>
  <c r="F110" i="3"/>
  <c r="L110" i="3" s="1"/>
  <c r="M110" i="3" s="1"/>
  <c r="F109" i="3"/>
  <c r="H109" i="3" s="1"/>
  <c r="M109" i="3" s="1"/>
  <c r="F107" i="3"/>
  <c r="J107" i="3" s="1"/>
  <c r="M107" i="3" s="1"/>
  <c r="F106" i="3"/>
  <c r="J106" i="3" s="1"/>
  <c r="M106" i="3" s="1"/>
  <c r="F105" i="3"/>
  <c r="J105" i="3" s="1"/>
  <c r="M105" i="3" s="1"/>
  <c r="F104" i="3"/>
  <c r="J104" i="3" s="1"/>
  <c r="M104" i="3" s="1"/>
  <c r="F103" i="3"/>
  <c r="J103" i="3" s="1"/>
  <c r="M103" i="3" s="1"/>
  <c r="F102" i="3"/>
  <c r="L102" i="3" s="1"/>
  <c r="M102" i="3" s="1"/>
  <c r="F101" i="3"/>
  <c r="H101" i="3" s="1"/>
  <c r="M101" i="3" s="1"/>
  <c r="F99" i="3"/>
  <c r="F98" i="3"/>
  <c r="F97" i="3"/>
  <c r="F96" i="3"/>
  <c r="J96" i="3" s="1"/>
  <c r="M96" i="3" s="1"/>
  <c r="F95" i="3"/>
  <c r="L95" i="3" s="1"/>
  <c r="M95" i="3" s="1"/>
  <c r="F94" i="3"/>
  <c r="H94" i="3" s="1"/>
  <c r="M94" i="3" s="1"/>
  <c r="F92" i="3"/>
  <c r="F91" i="3"/>
  <c r="J91" i="3" s="1"/>
  <c r="M91" i="3" s="1"/>
  <c r="F90" i="3"/>
  <c r="J90" i="3" s="1"/>
  <c r="M90" i="3" s="1"/>
  <c r="J89" i="3"/>
  <c r="M89" i="3" s="1"/>
  <c r="E88" i="3"/>
  <c r="F88" i="3" s="1"/>
  <c r="H88" i="3" s="1"/>
  <c r="M88" i="3" s="1"/>
  <c r="F86" i="3"/>
  <c r="J85" i="3"/>
  <c r="M85" i="3" s="1"/>
  <c r="F84" i="3"/>
  <c r="J84" i="3" s="1"/>
  <c r="M84" i="3" s="1"/>
  <c r="F83" i="3"/>
  <c r="L83" i="3" s="1"/>
  <c r="M83" i="3" s="1"/>
  <c r="F82" i="3"/>
  <c r="H82" i="3" s="1"/>
  <c r="M82" i="3" s="1"/>
  <c r="F80" i="3"/>
  <c r="J80" i="3" s="1"/>
  <c r="M80" i="3" s="1"/>
  <c r="J79" i="3"/>
  <c r="M79" i="3" s="1"/>
  <c r="E78" i="3"/>
  <c r="F78" i="3" s="1"/>
  <c r="H78" i="3" s="1"/>
  <c r="M78" i="3" s="1"/>
  <c r="F76" i="3"/>
  <c r="F75" i="3"/>
  <c r="F74" i="3"/>
  <c r="F73" i="3"/>
  <c r="J72" i="3"/>
  <c r="M72" i="3" s="1"/>
  <c r="E71" i="3"/>
  <c r="F71" i="3" s="1"/>
  <c r="H71" i="3" s="1"/>
  <c r="M71" i="3" s="1"/>
  <c r="F69" i="3"/>
  <c r="L69" i="3" s="1"/>
  <c r="M69" i="3" s="1"/>
  <c r="F68" i="3"/>
  <c r="H68" i="3" s="1"/>
  <c r="M68" i="3" s="1"/>
  <c r="F66" i="3"/>
  <c r="J66" i="3" s="1"/>
  <c r="M66" i="3" s="1"/>
  <c r="F65" i="3"/>
  <c r="J65" i="3" s="1"/>
  <c r="M65" i="3" s="1"/>
  <c r="F64" i="3"/>
  <c r="J64" i="3" s="1"/>
  <c r="M64" i="3" s="1"/>
  <c r="E63" i="3"/>
  <c r="F63" i="3" s="1"/>
  <c r="H63" i="3" s="1"/>
  <c r="M63" i="3" s="1"/>
  <c r="F61" i="3"/>
  <c r="J61" i="3" s="1"/>
  <c r="M61" i="3" s="1"/>
  <c r="F60" i="3"/>
  <c r="F59" i="3"/>
  <c r="J59" i="3" s="1"/>
  <c r="M59" i="3" s="1"/>
  <c r="F58" i="3"/>
  <c r="J58" i="3" s="1"/>
  <c r="M58" i="3" s="1"/>
  <c r="F57" i="3"/>
  <c r="J57" i="3" s="1"/>
  <c r="M57" i="3" s="1"/>
  <c r="E56" i="3"/>
  <c r="F56" i="3" s="1"/>
  <c r="H56" i="3" s="1"/>
  <c r="M56" i="3" s="1"/>
  <c r="F54" i="3"/>
  <c r="J54" i="3" s="1"/>
  <c r="M54" i="3" s="1"/>
  <c r="F53" i="3"/>
  <c r="F52" i="3"/>
  <c r="J52" i="3" s="1"/>
  <c r="M52" i="3" s="1"/>
  <c r="F51" i="3"/>
  <c r="J51" i="3" s="1"/>
  <c r="M51" i="3" s="1"/>
  <c r="M50" i="3"/>
  <c r="F50" i="3"/>
  <c r="E49" i="3"/>
  <c r="F49" i="3" s="1"/>
  <c r="H49" i="3" s="1"/>
  <c r="M49" i="3" s="1"/>
  <c r="J47" i="3"/>
  <c r="M47" i="3" s="1"/>
  <c r="J46" i="3"/>
  <c r="M46" i="3" s="1"/>
  <c r="E45" i="3"/>
  <c r="F45" i="3" s="1"/>
  <c r="H45" i="3" s="1"/>
  <c r="M45" i="3" s="1"/>
  <c r="J43" i="3"/>
  <c r="M43" i="3" s="1"/>
  <c r="J42" i="3"/>
  <c r="M42" i="3" s="1"/>
  <c r="E41" i="3"/>
  <c r="F41" i="3" s="1"/>
  <c r="H41" i="3" s="1"/>
  <c r="M41" i="3" s="1"/>
  <c r="E39" i="3"/>
  <c r="E38" i="3"/>
  <c r="F38" i="3" s="1"/>
  <c r="J38" i="3" s="1"/>
  <c r="M38" i="3" s="1"/>
  <c r="F36" i="3"/>
  <c r="J36" i="3" s="1"/>
  <c r="M36" i="3" s="1"/>
  <c r="E35" i="3"/>
  <c r="F35" i="3" s="1"/>
  <c r="L35" i="3" s="1"/>
  <c r="E34" i="3"/>
  <c r="F33" i="3"/>
  <c r="J28" i="3"/>
  <c r="M28" i="3" s="1"/>
  <c r="E27" i="3"/>
  <c r="F27" i="3" s="1"/>
  <c r="H27" i="3" s="1"/>
  <c r="M27" i="3" s="1"/>
  <c r="F26" i="3"/>
  <c r="F32" i="3" s="1"/>
  <c r="J21" i="3"/>
  <c r="M21" i="3" s="1"/>
  <c r="F20" i="3"/>
  <c r="J20" i="3" s="1"/>
  <c r="E19" i="3"/>
  <c r="F18" i="3"/>
  <c r="F25" i="3" s="1"/>
  <c r="J25" i="3" s="1"/>
  <c r="M25" i="3" s="1"/>
  <c r="E17" i="3"/>
  <c r="F17" i="3" s="1"/>
  <c r="H17" i="3" s="1"/>
  <c r="J97" i="3" l="1"/>
  <c r="M97" i="3" s="1"/>
  <c r="J99" i="3"/>
  <c r="M99" i="3" s="1"/>
  <c r="J86" i="3"/>
  <c r="M86" i="3" s="1"/>
  <c r="J53" i="3"/>
  <c r="M53" i="3" s="1"/>
  <c r="J133" i="3"/>
  <c r="M133" i="3" s="1"/>
  <c r="J60" i="3"/>
  <c r="M60" i="3" s="1"/>
  <c r="J74" i="3"/>
  <c r="M74" i="3" s="1"/>
  <c r="J76" i="3"/>
  <c r="M76" i="3" s="1"/>
  <c r="J92" i="3"/>
  <c r="M92" i="3" s="1"/>
  <c r="J115" i="3"/>
  <c r="M115" i="3" s="1"/>
  <c r="H118" i="3"/>
  <c r="M118" i="3" s="1"/>
  <c r="F39" i="3"/>
  <c r="J39" i="3" s="1"/>
  <c r="M39" i="3" s="1"/>
  <c r="J73" i="3"/>
  <c r="M73" i="3" s="1"/>
  <c r="J75" i="3"/>
  <c r="M75" i="3" s="1"/>
  <c r="J98" i="3"/>
  <c r="M98" i="3" s="1"/>
  <c r="F126" i="3"/>
  <c r="H126" i="3" s="1"/>
  <c r="M126" i="3" s="1"/>
  <c r="F129" i="3"/>
  <c r="J129" i="3" s="1"/>
  <c r="M129" i="3" s="1"/>
  <c r="F19" i="3"/>
  <c r="H19" i="3" s="1"/>
  <c r="M19" i="3" s="1"/>
  <c r="J32" i="3"/>
  <c r="M32" i="3" s="1"/>
  <c r="F34" i="3"/>
  <c r="H34" i="3" s="1"/>
  <c r="M34" i="3" s="1"/>
  <c r="F37" i="3"/>
  <c r="J37" i="3" s="1"/>
  <c r="M37" i="3" s="1"/>
  <c r="J111" i="3"/>
  <c r="M111" i="3" s="1"/>
  <c r="J114" i="3"/>
  <c r="M114" i="3" s="1"/>
  <c r="J116" i="3"/>
  <c r="M116" i="3" s="1"/>
  <c r="M20" i="3"/>
  <c r="L143" i="3"/>
  <c r="M35" i="3"/>
  <c r="M17" i="3"/>
  <c r="F22" i="3"/>
  <c r="J22" i="3" s="1"/>
  <c r="M22" i="3" s="1"/>
  <c r="F23" i="3"/>
  <c r="J23" i="3" s="1"/>
  <c r="M23" i="3" s="1"/>
  <c r="F24" i="3"/>
  <c r="J24" i="3" s="1"/>
  <c r="M24" i="3" s="1"/>
  <c r="F29" i="3"/>
  <c r="J29" i="3" s="1"/>
  <c r="M29" i="3" s="1"/>
  <c r="F30" i="3"/>
  <c r="J30" i="3" s="1"/>
  <c r="M30" i="3" s="1"/>
  <c r="F31" i="3"/>
  <c r="J31" i="3" s="1"/>
  <c r="M31" i="3" s="1"/>
  <c r="H143" i="3" l="1"/>
  <c r="H144" i="3" s="1"/>
  <c r="L144" i="3"/>
  <c r="M143" i="3"/>
  <c r="J143" i="3"/>
  <c r="M144" i="3" l="1"/>
  <c r="L145" i="3"/>
  <c r="M145" i="3" s="1"/>
  <c r="J146" i="3"/>
  <c r="H146" i="3"/>
  <c r="M146" i="3" l="1"/>
  <c r="J147" i="3"/>
  <c r="J148" i="3" s="1"/>
  <c r="L11" i="3"/>
  <c r="H147" i="3"/>
  <c r="H148" i="3" s="1"/>
  <c r="L146" i="3"/>
  <c r="H149" i="3" l="1"/>
  <c r="L147" i="3"/>
  <c r="M147" i="3" s="1"/>
  <c r="J149" i="3"/>
  <c r="J150" i="3" s="1"/>
  <c r="L148" i="3" l="1"/>
  <c r="L149" i="3" s="1"/>
  <c r="M149" i="3" s="1"/>
  <c r="H150" i="3"/>
  <c r="M148" i="3" l="1"/>
  <c r="L150" i="3"/>
  <c r="M150" i="3" s="1"/>
  <c r="M151" i="3" l="1"/>
  <c r="M152" i="3" s="1"/>
  <c r="M153" i="3" l="1"/>
  <c r="M154" i="3" s="1"/>
  <c r="L10" i="3" s="1"/>
  <c r="C2" i="6" s="1"/>
  <c r="C5" i="6" s="1"/>
</calcChain>
</file>

<file path=xl/sharedStrings.xml><?xml version="1.0" encoding="utf-8"?>
<sst xmlns="http://schemas.openxmlformats.org/spreadsheetml/2006/main" count="1217" uniqueCount="209">
  <si>
    <t>mestiis municipaliteti, uSgulis Temi, sofeli CaJaSi, dami niJaraZis koSkis reabilitecia.</t>
  </si>
  <si>
    <t>______________________________________________</t>
  </si>
  <si>
    <t>/mSeneblobis dasaxeleba/</t>
  </si>
  <si>
    <t xml:space="preserve">lokalur-resursuli xarjTaRricxva </t>
  </si>
  <si>
    <t>koSkis reabilitacia</t>
  </si>
  <si>
    <t>______________________________</t>
  </si>
  <si>
    <t xml:space="preserve"> /obieqtis, samuSaos da danaxarjebis dasaxeleba/</t>
  </si>
  <si>
    <t xml:space="preserve">safuZveli: proeqti                              </t>
  </si>
  <si>
    <t xml:space="preserve">saxarjTaRricxvo Rirebuleba </t>
  </si>
  <si>
    <t>lari</t>
  </si>
  <si>
    <t xml:space="preserve"> maT Soris xelfasi</t>
  </si>
  <si>
    <t xml:space="preserve">   normatiuli</t>
  </si>
  <si>
    <t xml:space="preserve">   xelfasi</t>
  </si>
  <si>
    <t xml:space="preserve">     masala</t>
  </si>
  <si>
    <t xml:space="preserve">   samSeneblo </t>
  </si>
  <si>
    <t>#</t>
  </si>
  <si>
    <t>safuZveli</t>
  </si>
  <si>
    <t>dasaxeleba</t>
  </si>
  <si>
    <t>ganz.</t>
  </si>
  <si>
    <t>erTeulze</t>
  </si>
  <si>
    <t>sul</t>
  </si>
  <si>
    <t>erT.</t>
  </si>
  <si>
    <t>fasi</t>
  </si>
  <si>
    <t>1'</t>
  </si>
  <si>
    <t>2'</t>
  </si>
  <si>
    <t>3'</t>
  </si>
  <si>
    <t>4'</t>
  </si>
  <si>
    <t>5'</t>
  </si>
  <si>
    <t>6'</t>
  </si>
  <si>
    <t>7'</t>
  </si>
  <si>
    <t>8'</t>
  </si>
  <si>
    <t>9'</t>
  </si>
  <si>
    <t>10'</t>
  </si>
  <si>
    <t>11'</t>
  </si>
  <si>
    <t>12'</t>
  </si>
  <si>
    <t>13'</t>
  </si>
  <si>
    <t>ЕРиРВ-86  d-6-1</t>
  </si>
  <si>
    <t>saxuravis fiqalis safaris daSala</t>
  </si>
  <si>
    <t>kv.m.</t>
  </si>
  <si>
    <t>SromiTi resursebi k=0,8</t>
  </si>
  <si>
    <t>kac/sT</t>
  </si>
  <si>
    <t>ЕРиРВ-86  5-21-3</t>
  </si>
  <si>
    <r>
      <rPr>
        <b/>
        <sz val="10"/>
        <color theme="1"/>
        <rFont val="AcadNusx"/>
      </rPr>
      <t xml:space="preserve">direebis mowyoba xis morebisagan Sida dire </t>
    </r>
    <r>
      <rPr>
        <b/>
        <sz val="10"/>
        <color theme="1"/>
        <rFont val="Calibri"/>
      </rPr>
      <t>Ø17</t>
    </r>
    <r>
      <rPr>
        <b/>
        <sz val="10"/>
        <color theme="1"/>
        <rFont val="AcadNusx"/>
      </rPr>
      <t xml:space="preserve">sm </t>
    </r>
    <r>
      <rPr>
        <b/>
        <sz val="10"/>
        <color theme="1"/>
        <rFont val="Calibri"/>
      </rPr>
      <t>L=560</t>
    </r>
    <r>
      <rPr>
        <b/>
        <sz val="10"/>
        <color theme="1"/>
        <rFont val="AcadNusx"/>
      </rPr>
      <t>sm (9c); gare dire</t>
    </r>
    <r>
      <rPr>
        <b/>
        <sz val="10"/>
        <color theme="1"/>
        <rFont val="Calibri"/>
      </rPr>
      <t xml:space="preserve"> Ø</t>
    </r>
    <r>
      <rPr>
        <b/>
        <sz val="10"/>
        <color theme="1"/>
        <rFont val="AcadNusx"/>
      </rPr>
      <t xml:space="preserve">17sm </t>
    </r>
    <r>
      <rPr>
        <b/>
        <sz val="10"/>
        <color theme="1"/>
        <rFont val="Calibri"/>
      </rPr>
      <t>L</t>
    </r>
    <r>
      <rPr>
        <b/>
        <sz val="10"/>
        <color theme="1"/>
        <rFont val="AcadNusx"/>
      </rPr>
      <t>=560sm (2c)</t>
    </r>
  </si>
  <si>
    <t>grZ.m.</t>
  </si>
  <si>
    <t>SromiTi resursebi</t>
  </si>
  <si>
    <t>4.-3</t>
  </si>
  <si>
    <t xml:space="preserve">xis masala k=1,15 </t>
  </si>
  <si>
    <t>kub.m.</t>
  </si>
  <si>
    <t>proeqtiT</t>
  </si>
  <si>
    <t>1.11-18</t>
  </si>
  <si>
    <t>gare dires ankeri  0.25</t>
  </si>
  <si>
    <t>cali</t>
  </si>
  <si>
    <t>1.11-1</t>
  </si>
  <si>
    <t>lursmani</t>
  </si>
  <si>
    <t>kg</t>
  </si>
  <si>
    <t>qeCa</t>
  </si>
  <si>
    <t>3.2-1</t>
  </si>
  <si>
    <t>toli</t>
  </si>
  <si>
    <t>fisi</t>
  </si>
  <si>
    <r>
      <rPr>
        <b/>
        <sz val="10"/>
        <color theme="1"/>
        <rFont val="AcadNusx"/>
      </rPr>
      <t xml:space="preserve">dire konsolis mowyoba xis morebisagan  </t>
    </r>
    <r>
      <rPr>
        <b/>
        <sz val="10"/>
        <color theme="1"/>
        <rFont val="Calibri"/>
      </rPr>
      <t>Ø17</t>
    </r>
    <r>
      <rPr>
        <b/>
        <sz val="10"/>
        <color theme="1"/>
        <rFont val="AcadNusx"/>
      </rPr>
      <t xml:space="preserve">sm </t>
    </r>
    <r>
      <rPr>
        <b/>
        <sz val="10"/>
        <color theme="1"/>
        <rFont val="Calibri"/>
      </rPr>
      <t>L=540</t>
    </r>
    <r>
      <rPr>
        <b/>
        <sz val="10"/>
        <color theme="1"/>
        <rFont val="AcadNusx"/>
      </rPr>
      <t>sm (3c)</t>
    </r>
  </si>
  <si>
    <t>12-2-1.gam.</t>
  </si>
  <si>
    <t>SromiTi resursi</t>
  </si>
  <si>
    <r>
      <rPr>
        <sz val="10"/>
        <color theme="1"/>
        <rFont val="AcadNusx"/>
      </rPr>
      <t xml:space="preserve">kac/sT </t>
    </r>
    <r>
      <rPr>
        <sz val="10"/>
        <color theme="1"/>
        <rFont val="Times New Roman"/>
      </rPr>
      <t xml:space="preserve"> </t>
    </r>
  </si>
  <si>
    <t>manqanebi</t>
  </si>
  <si>
    <t xml:space="preserve">lari </t>
  </si>
  <si>
    <t>3.2-20</t>
  </si>
  <si>
    <t xml:space="preserve">lonokromi qveda fena </t>
  </si>
  <si>
    <t>3.2-22</t>
  </si>
  <si>
    <t>lonokromi zeda fena</t>
  </si>
  <si>
    <t>3.3-6</t>
  </si>
  <si>
    <t>biTumis mastika</t>
  </si>
  <si>
    <t xml:space="preserve">sxva masala </t>
  </si>
  <si>
    <t xml:space="preserve">fiqalis fenilis mowyoba </t>
  </si>
  <si>
    <t>gamokiTxva</t>
  </si>
  <si>
    <t>fiqali (adgilobrivi dsmzadenuli)</t>
  </si>
  <si>
    <t>1.11-19</t>
  </si>
  <si>
    <t>ankeri  0.15</t>
  </si>
  <si>
    <t>saxuravis safaris mowyoba fiqaliT</t>
  </si>
  <si>
    <t>ЕРиРВ-86 2-1; 2-38gam</t>
  </si>
  <si>
    <t>koSkis kedlis gadawyoba</t>
  </si>
  <si>
    <t>arsebuli qva</t>
  </si>
  <si>
    <t>kiri Caumqrali</t>
  </si>
  <si>
    <t>tona</t>
  </si>
  <si>
    <t>3.1-207</t>
  </si>
  <si>
    <t>cementi</t>
  </si>
  <si>
    <t>3.1-248</t>
  </si>
  <si>
    <t>wyali</t>
  </si>
  <si>
    <t>3.1-251</t>
  </si>
  <si>
    <t>qviSa</t>
  </si>
  <si>
    <t>ЕРиРВ-86 2-38</t>
  </si>
  <si>
    <t xml:space="preserve"> kedlebis amoSeneba kirduRabis rTuli xsnariT </t>
  </si>
  <si>
    <t xml:space="preserve"> qva</t>
  </si>
  <si>
    <t>ЕРиРВ-86 3-15-1</t>
  </si>
  <si>
    <t>qvisSorisebis galesva kirduRabiT</t>
  </si>
  <si>
    <t>46-27-3</t>
  </si>
  <si>
    <t>sarTulSua gadaxurvis demontaJi</t>
  </si>
  <si>
    <r>
      <rPr>
        <b/>
        <sz val="10"/>
        <color theme="1"/>
        <rFont val="AcadNusx"/>
      </rPr>
      <t xml:space="preserve">sarTulSua gadaxurvis direebis mowyoba xis morebisagan Sida dire </t>
    </r>
    <r>
      <rPr>
        <b/>
        <sz val="10"/>
        <color theme="1"/>
        <rFont val="Calibri"/>
      </rPr>
      <t>Ø17</t>
    </r>
    <r>
      <rPr>
        <b/>
        <sz val="10"/>
        <color theme="1"/>
        <rFont val="AcadNusx"/>
      </rPr>
      <t xml:space="preserve">sm </t>
    </r>
    <r>
      <rPr>
        <b/>
        <sz val="10"/>
        <color theme="1"/>
        <rFont val="Calibri"/>
      </rPr>
      <t>L=60.2</t>
    </r>
    <r>
      <rPr>
        <b/>
        <sz val="10"/>
        <color theme="1"/>
        <rFont val="AcadNusx"/>
      </rPr>
      <t>grZ.m.</t>
    </r>
  </si>
  <si>
    <t>ЕРиРВ-86  5-19-5gam</t>
  </si>
  <si>
    <t>sarTulSua gadaxurvis mowyoba moruli ficriT</t>
  </si>
  <si>
    <t>moruli ficari</t>
  </si>
  <si>
    <t>10-20-1.</t>
  </si>
  <si>
    <t xml:space="preserve">xis karis mowyoba </t>
  </si>
  <si>
    <t>4.-81</t>
  </si>
  <si>
    <t>xis karis bloki (damzadebuli)</t>
  </si>
  <si>
    <t>karis rkina-kaveuli</t>
  </si>
  <si>
    <t>komp.</t>
  </si>
  <si>
    <t>sxva masala</t>
  </si>
  <si>
    <t>ЕРиРВ-86  5-21-1,7gam</t>
  </si>
  <si>
    <t xml:space="preserve"> xis moris asasvleli Wdeebiani kibe </t>
  </si>
  <si>
    <t xml:space="preserve">xis masala </t>
  </si>
  <si>
    <t>10-11-1gam</t>
  </si>
  <si>
    <t>aryis xis wnelis mowyoba</t>
  </si>
  <si>
    <t>xis masala adgilze mopovebuli da damzadebuli</t>
  </si>
  <si>
    <t>1.2-8</t>
  </si>
  <si>
    <t>glinula</t>
  </si>
  <si>
    <t>10-11-1.</t>
  </si>
  <si>
    <t>saxuravis xis ~fermis~ direebis mowyoba</t>
  </si>
  <si>
    <t>4.-2</t>
  </si>
  <si>
    <t>xis masala</t>
  </si>
  <si>
    <t>1.2-6</t>
  </si>
  <si>
    <t>10-39-3.</t>
  </si>
  <si>
    <t>xis masalis antiseptireba pastiT</t>
  </si>
  <si>
    <t>antiseptiki</t>
  </si>
  <si>
    <t>litri</t>
  </si>
  <si>
    <t>ЕРнРВР  3-14-2gam</t>
  </si>
  <si>
    <t>bzarebis ineqsireba polimercementis xsnariT</t>
  </si>
  <si>
    <t>polimercementi</t>
  </si>
  <si>
    <t>10-38-3.</t>
  </si>
  <si>
    <t>xis konstruqciebis damuSaveba praimeriT</t>
  </si>
  <si>
    <t>sabazro</t>
  </si>
  <si>
    <t>praimeri xis</t>
  </si>
  <si>
    <t>ЕРиРВ-86  21-9-1,2</t>
  </si>
  <si>
    <t xml:space="preserve">masalebis atana xelis jalambariT 20.6m-ze </t>
  </si>
  <si>
    <t>1 waeva</t>
  </si>
  <si>
    <t>ЕРиРВ-86  1-11-1</t>
  </si>
  <si>
    <t>sarTulze miwis moxsna 100m-ze urikebiT gamotaniT</t>
  </si>
  <si>
    <t>Tixatkepnilis mowyoba 46.49kv.m.</t>
  </si>
  <si>
    <t>lar</t>
  </si>
  <si>
    <t>3.1-240</t>
  </si>
  <si>
    <t>Tixa</t>
  </si>
  <si>
    <t>ЕРнРВР  21-2-1,</t>
  </si>
  <si>
    <t xml:space="preserve">xis  xaraCoebis mowyoba </t>
  </si>
  <si>
    <t xml:space="preserve">Sromis danaxarjebi      </t>
  </si>
  <si>
    <t xml:space="preserve">daxerxilis xis masala </t>
  </si>
  <si>
    <t xml:space="preserve">mavTuli  </t>
  </si>
  <si>
    <t>1.11-31</t>
  </si>
  <si>
    <t>naWedi</t>
  </si>
  <si>
    <t>ЕРнРВР  21-2-6</t>
  </si>
  <si>
    <t xml:space="preserve"> xaraCoebis daSla</t>
  </si>
  <si>
    <t>ВЗЕР-88 21-87</t>
  </si>
  <si>
    <t xml:space="preserve">teritoriis gasufTaveba samSeneblo  nagvisagan </t>
  </si>
  <si>
    <t>ВЗЕР-88  1-3</t>
  </si>
  <si>
    <t>srf2024-II T.14p.5</t>
  </si>
  <si>
    <t xml:space="preserve">samSeneblo nagvis transportireba 5km-ze </t>
  </si>
  <si>
    <t>jami</t>
  </si>
  <si>
    <t>ВЗЕР-88 miTiTeb. danarTi-6</t>
  </si>
  <si>
    <t>koeficienti xelfasze da m/meq. Eeqspluaraciaze maRalmTian raionisTvis zRv.d. 1700-1800m-mde k=1,15</t>
  </si>
  <si>
    <t xml:space="preserve">satransporto xari masalaze </t>
  </si>
  <si>
    <t>zednadebi xarjebi</t>
  </si>
  <si>
    <t>gegmiuri mogeba</t>
  </si>
  <si>
    <t>saavtoro zedamxedveloba 2%</t>
  </si>
  <si>
    <t>gauTvaliswinebeli xarji 5%</t>
  </si>
  <si>
    <t>2 fena hidroizolaciis mowyoba</t>
  </si>
  <si>
    <t>samSeneblo nagvis datvirTva a/TviTmclelebze xeliT</t>
  </si>
  <si>
    <t>mestiis municipaliteti, uSgulis Temi, sofeli CaJaSi, ilo niJaraZis koSkis reabilitecia.</t>
  </si>
  <si>
    <t>saxuravis fiqalis safaris daSla</t>
  </si>
  <si>
    <r>
      <t xml:space="preserve">direebis mowyoba xis morebisagan Sida dire </t>
    </r>
    <r>
      <rPr>
        <b/>
        <sz val="10"/>
        <rFont val="Calibri"/>
        <family val="2"/>
        <charset val="204"/>
      </rPr>
      <t>Ø17</t>
    </r>
    <r>
      <rPr>
        <b/>
        <sz val="10"/>
        <rFont val="AcadNusx"/>
      </rPr>
      <t xml:space="preserve">sm </t>
    </r>
    <r>
      <rPr>
        <b/>
        <sz val="10"/>
        <rFont val="Calibri"/>
        <family val="2"/>
        <charset val="204"/>
        <scheme val="minor"/>
      </rPr>
      <t>L=530</t>
    </r>
    <r>
      <rPr>
        <b/>
        <sz val="10"/>
        <rFont val="AcadNusx"/>
      </rPr>
      <t>sm (10c); gare dire</t>
    </r>
    <r>
      <rPr>
        <b/>
        <sz val="10"/>
        <rFont val="Calibri"/>
        <family val="2"/>
        <charset val="204"/>
        <scheme val="minor"/>
      </rPr>
      <t xml:space="preserve"> Ø</t>
    </r>
    <r>
      <rPr>
        <b/>
        <sz val="10"/>
        <rFont val="AcadNusx"/>
      </rPr>
      <t xml:space="preserve">17sm </t>
    </r>
    <r>
      <rPr>
        <b/>
        <sz val="10"/>
        <rFont val="Calibri"/>
        <family val="2"/>
        <charset val="204"/>
        <scheme val="minor"/>
      </rPr>
      <t>L</t>
    </r>
    <r>
      <rPr>
        <b/>
        <sz val="10"/>
        <rFont val="AcadNusx"/>
      </rPr>
      <t>=530sm (2c)</t>
    </r>
  </si>
  <si>
    <r>
      <t xml:space="preserve">dire konsolis mowyoba xis morebisagan  </t>
    </r>
    <r>
      <rPr>
        <b/>
        <sz val="10"/>
        <rFont val="Calibri"/>
        <family val="2"/>
        <charset val="204"/>
      </rPr>
      <t>Ø17</t>
    </r>
    <r>
      <rPr>
        <b/>
        <sz val="10"/>
        <rFont val="AcadNusx"/>
      </rPr>
      <t xml:space="preserve">sm </t>
    </r>
    <r>
      <rPr>
        <b/>
        <sz val="10"/>
        <rFont val="Calibri"/>
        <family val="2"/>
        <charset val="204"/>
        <scheme val="minor"/>
      </rPr>
      <t>L=520</t>
    </r>
    <r>
      <rPr>
        <b/>
        <sz val="10"/>
        <rFont val="AcadNusx"/>
      </rPr>
      <t>sm (4c)</t>
    </r>
  </si>
  <si>
    <r>
      <t xml:space="preserve">kac/sT </t>
    </r>
    <r>
      <rPr>
        <sz val="10"/>
        <rFont val="Times New Roman"/>
        <family val="1"/>
        <charset val="204"/>
      </rPr>
      <t xml:space="preserve"> </t>
    </r>
  </si>
  <si>
    <t>1.11-17</t>
  </si>
  <si>
    <t>3.1-254</t>
  </si>
  <si>
    <r>
      <t xml:space="preserve">sarTulSua gadaxurvis direebis mowyoba xis morebisagan Sida dire </t>
    </r>
    <r>
      <rPr>
        <b/>
        <sz val="10"/>
        <rFont val="Calibri"/>
        <family val="2"/>
        <charset val="204"/>
      </rPr>
      <t>Ø17</t>
    </r>
    <r>
      <rPr>
        <b/>
        <sz val="10"/>
        <rFont val="AcadNusx"/>
      </rPr>
      <t xml:space="preserve">sm </t>
    </r>
    <r>
      <rPr>
        <b/>
        <sz val="10"/>
        <rFont val="Calibri"/>
        <family val="2"/>
        <charset val="204"/>
        <scheme val="minor"/>
      </rPr>
      <t>L=7</t>
    </r>
    <r>
      <rPr>
        <b/>
        <sz val="10"/>
        <rFont val="AcadNusx"/>
      </rPr>
      <t>0grZ.m.</t>
    </r>
  </si>
  <si>
    <t>4.-82</t>
  </si>
  <si>
    <t>bzarebis ineqtireba polimercementis xsnariT</t>
  </si>
  <si>
    <t>8-4-8.</t>
  </si>
  <si>
    <t>Tixatkepnilis mowyoba 53kv.m.</t>
  </si>
  <si>
    <t>samSeneblo nagvis dayvirTva a/TviTmclelebze xeliT</t>
  </si>
  <si>
    <t>srf2024-I T.14p.5</t>
  </si>
  <si>
    <t>mestiis municipaliteti, uSgulis Temi, sofeli CaJaSi, Tamaris koSkis reabilitecia.</t>
  </si>
  <si>
    <r>
      <t xml:space="preserve">direebis mowyoba xis morebisagan Sida dire </t>
    </r>
    <r>
      <rPr>
        <b/>
        <sz val="10"/>
        <rFont val="Calibri"/>
        <family val="2"/>
        <charset val="204"/>
      </rPr>
      <t>Ø18</t>
    </r>
    <r>
      <rPr>
        <b/>
        <sz val="10"/>
        <rFont val="AcadNusx"/>
      </rPr>
      <t xml:space="preserve">sm </t>
    </r>
    <r>
      <rPr>
        <b/>
        <sz val="10"/>
        <rFont val="Calibri"/>
        <family val="2"/>
        <charset val="204"/>
        <scheme val="minor"/>
      </rPr>
      <t>L=521</t>
    </r>
    <r>
      <rPr>
        <b/>
        <sz val="10"/>
        <rFont val="AcadNusx"/>
      </rPr>
      <t>sm (7c); gare dire</t>
    </r>
    <r>
      <rPr>
        <b/>
        <sz val="10"/>
        <rFont val="Calibri"/>
        <family val="2"/>
        <charset val="204"/>
        <scheme val="minor"/>
      </rPr>
      <t xml:space="preserve"> Ø</t>
    </r>
    <r>
      <rPr>
        <b/>
        <sz val="10"/>
        <rFont val="AcadNusx"/>
      </rPr>
      <t xml:space="preserve">15sm </t>
    </r>
    <r>
      <rPr>
        <b/>
        <sz val="10"/>
        <rFont val="Calibri"/>
        <family val="2"/>
        <charset val="204"/>
        <scheme val="minor"/>
      </rPr>
      <t>L</t>
    </r>
    <r>
      <rPr>
        <b/>
        <sz val="10"/>
        <rFont val="AcadNusx"/>
      </rPr>
      <t>=520sm (2c)</t>
    </r>
  </si>
  <si>
    <r>
      <t xml:space="preserve">sarTulSua gadaxurvis direebis mowyoba xis morebisagan Sida dire </t>
    </r>
    <r>
      <rPr>
        <b/>
        <sz val="10"/>
        <rFont val="Calibri"/>
        <family val="2"/>
        <charset val="204"/>
      </rPr>
      <t>Ø20</t>
    </r>
    <r>
      <rPr>
        <b/>
        <sz val="10"/>
        <rFont val="AcadNusx"/>
      </rPr>
      <t xml:space="preserve">sm </t>
    </r>
    <r>
      <rPr>
        <b/>
        <sz val="10"/>
        <rFont val="Calibri"/>
        <family val="2"/>
        <charset val="204"/>
        <scheme val="minor"/>
      </rPr>
      <t xml:space="preserve">L=23.76 </t>
    </r>
    <r>
      <rPr>
        <b/>
        <sz val="10"/>
        <rFont val="AcadNusx"/>
      </rPr>
      <t>grZ.m.</t>
    </r>
  </si>
  <si>
    <t>sarTulSua gadaxurvis mowyoba moruli ficriT d=10sm</t>
  </si>
  <si>
    <t>xis karis mowyoba 2 cali</t>
  </si>
  <si>
    <t xml:space="preserve"> xis moris asasvleli Wdeebiani kibe d=25sm</t>
  </si>
  <si>
    <t xml:space="preserve">masalebis atana xelis jalambariT 16.0m-ze </t>
  </si>
  <si>
    <t>ЕНиР  Е1-21-1</t>
  </si>
  <si>
    <t>samSeneblo masalebis gadmotvirTva xeliT</t>
  </si>
  <si>
    <t>Tixatkepnilis mowyoba 40.2kv.m.</t>
  </si>
  <si>
    <t>aivnis xis konstruqciebis mowyoba                 (2 cali)</t>
  </si>
  <si>
    <t>aivnis saxuravis safaris mowyoba fiqaliT</t>
  </si>
  <si>
    <t>ЕРиРВ-86  5-42-1</t>
  </si>
  <si>
    <t>aivnis kibis mowyoba</t>
  </si>
  <si>
    <t>11-8-1;11-8-2gam</t>
  </si>
  <si>
    <t>iatakze kirduRabis moWimva sisq. 40mm</t>
  </si>
  <si>
    <t xml:space="preserve">SromiTi resursebi </t>
  </si>
  <si>
    <t>manqanebi 0,95+0,23X4=</t>
  </si>
  <si>
    <t>kalk,1</t>
  </si>
  <si>
    <t>kiris duRabi 2,04+0,51X4=</t>
  </si>
  <si>
    <t>11-30-7gam</t>
  </si>
  <si>
    <t>qvis iatakis mowyoba</t>
  </si>
  <si>
    <t>fiqali (adgilobrivi damzadebuli)</t>
  </si>
  <si>
    <t>kiris duRabi</t>
  </si>
  <si>
    <t>N</t>
  </si>
  <si>
    <t>ძეგლის დასახელება</t>
  </si>
  <si>
    <t>ღირებულება</t>
  </si>
  <si>
    <t>ჯამი</t>
  </si>
  <si>
    <t>მესტიის მუნიციპალიტეტი, უშგულის თემი, სოფელი ჩაჟაში, დამი ნიჟარაძის კოშკის რეაბილიტაცია</t>
  </si>
  <si>
    <t>მესტიის მუნიციპალიტეტი, უშგულის თემი, სოფელი ჩაჟაში, ილო ნიჟარაძის კოშკის რეაბილიტაცია.</t>
  </si>
  <si>
    <t>მესტიის მუნიციპალიტეტი, უშგულის თემი, სოფელი ჩაჟაში, თამარის კოშკის რეაბილიტაცია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</si>
</sst>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4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AcadNusx"/>
    </font>
    <font>
      <sz val="12"/>
      <color theme="1"/>
      <name val="AcadNusx"/>
    </font>
    <font>
      <sz val="14"/>
      <color theme="1"/>
      <name val="AcadNusx"/>
    </font>
    <font>
      <b/>
      <sz val="10"/>
      <color theme="1"/>
      <name val="AcadNusx"/>
    </font>
    <font>
      <b/>
      <sz val="12"/>
      <color theme="1"/>
      <name val="AcadNusx"/>
    </font>
    <font>
      <sz val="11"/>
      <color theme="1"/>
      <name val="AcadNusx"/>
    </font>
    <font>
      <b/>
      <sz val="11"/>
      <color theme="1"/>
      <name val="AcadNusx"/>
    </font>
    <font>
      <b/>
      <sz val="9"/>
      <color theme="1"/>
      <name val="AcadNusx"/>
    </font>
    <font>
      <sz val="8"/>
      <color theme="1"/>
      <name val="AcadNusx"/>
    </font>
    <font>
      <sz val="10"/>
      <color theme="1"/>
      <name val="Calibri"/>
    </font>
    <font>
      <b/>
      <sz val="8"/>
      <color theme="1"/>
      <name val="AcadNusx"/>
    </font>
    <font>
      <u/>
      <sz val="11"/>
      <color theme="10"/>
      <name val="Calibri"/>
    </font>
    <font>
      <u/>
      <sz val="11"/>
      <color theme="10"/>
      <name val="Calibri"/>
    </font>
    <font>
      <b/>
      <sz val="7"/>
      <color theme="1"/>
      <name val="AcadNusx"/>
    </font>
    <font>
      <b/>
      <sz val="10"/>
      <color theme="1"/>
      <name val="Calibri"/>
    </font>
    <font>
      <sz val="10"/>
      <color theme="1"/>
      <name val="Times New Roman"/>
    </font>
    <font>
      <b/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name val="AcadNusx"/>
    </font>
    <font>
      <b/>
      <sz val="12"/>
      <name val="AcadNusx"/>
    </font>
    <font>
      <sz val="12"/>
      <name val="AcadNusx"/>
    </font>
    <font>
      <sz val="10"/>
      <name val="AcadNusx"/>
    </font>
    <font>
      <sz val="14"/>
      <name val="AcadNusx"/>
    </font>
    <font>
      <sz val="10"/>
      <name val="Arial"/>
      <family val="2"/>
    </font>
    <font>
      <b/>
      <sz val="10"/>
      <name val="AcadNusx"/>
    </font>
    <font>
      <sz val="11"/>
      <color theme="1"/>
      <name val="Calibri"/>
      <family val="2"/>
      <charset val="1"/>
      <scheme val="minor"/>
    </font>
    <font>
      <b/>
      <sz val="9"/>
      <name val="AcadNusx"/>
    </font>
    <font>
      <b/>
      <sz val="10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8"/>
      <name val="AcadNusx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8"/>
      <name val="AcadNusx"/>
    </font>
    <font>
      <u/>
      <sz val="11"/>
      <color theme="10"/>
      <name val="Calibri"/>
      <family val="2"/>
      <charset val="1"/>
      <scheme val="minor"/>
    </font>
    <font>
      <sz val="11"/>
      <name val="AcadNusx"/>
    </font>
    <font>
      <b/>
      <sz val="7"/>
      <name val="AcadNusx"/>
    </font>
    <font>
      <sz val="9"/>
      <name val="AcadNusx"/>
    </font>
    <font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9" fillId="0" borderId="1"/>
    <xf numFmtId="0" fontId="19" fillId="0" borderId="1"/>
    <xf numFmtId="0" fontId="25" fillId="0" borderId="1"/>
    <xf numFmtId="0" fontId="25" fillId="0" borderId="1"/>
    <xf numFmtId="0" fontId="27" fillId="0" borderId="1"/>
    <xf numFmtId="0" fontId="25" fillId="0" borderId="1"/>
    <xf numFmtId="0" fontId="19" fillId="0" borderId="1"/>
    <xf numFmtId="0" fontId="35" fillId="0" borderId="1" applyNumberFormat="0" applyFill="0" applyBorder="0" applyAlignment="0" applyProtection="0"/>
    <xf numFmtId="0" fontId="25" fillId="0" borderId="1"/>
    <xf numFmtId="9" fontId="25" fillId="0" borderId="1" applyFont="0" applyFill="0" applyBorder="0" applyAlignment="0" applyProtection="0"/>
    <xf numFmtId="0" fontId="1" fillId="0" borderId="1"/>
    <xf numFmtId="0" fontId="27" fillId="0" borderId="1"/>
    <xf numFmtId="0" fontId="39" fillId="0" borderId="1"/>
    <xf numFmtId="0" fontId="25" fillId="0" borderId="1"/>
    <xf numFmtId="0" fontId="1" fillId="0" borderId="1"/>
  </cellStyleXfs>
  <cellXfs count="3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2" fontId="5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6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/>
    </xf>
    <xf numFmtId="2" fontId="2" fillId="3" borderId="12" xfId="0" applyNumberFormat="1" applyFont="1" applyFill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2" fontId="5" fillId="0" borderId="17" xfId="0" applyNumberFormat="1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10" fillId="0" borderId="17" xfId="0" applyNumberFormat="1" applyFont="1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5" fillId="3" borderId="10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14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0" xfId="0" applyFont="1"/>
    <xf numFmtId="0" fontId="5" fillId="0" borderId="0" xfId="0" applyFont="1" applyAlignment="1">
      <alignment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4" fontId="5" fillId="0" borderId="14" xfId="0" applyNumberFormat="1" applyFont="1" applyBorder="1" applyAlignment="1">
      <alignment horizontal="center" vertical="center" wrapText="1"/>
    </xf>
    <xf numFmtId="166" fontId="5" fillId="0" borderId="14" xfId="0" applyNumberFormat="1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horizontal="center" vertical="center" wrapText="1"/>
    </xf>
    <xf numFmtId="14" fontId="2" fillId="0" borderId="16" xfId="0" quotePrefix="1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2" fontId="12" fillId="3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wrapText="1"/>
    </xf>
    <xf numFmtId="9" fontId="8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9" fontId="8" fillId="2" borderId="5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2" fontId="12" fillId="2" borderId="5" xfId="0" applyNumberFormat="1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6" fontId="12" fillId="2" borderId="5" xfId="0" applyNumberFormat="1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9" fontId="8" fillId="0" borderId="5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1" fillId="0" borderId="1" xfId="1" applyFont="1" applyAlignment="1">
      <alignment vertical="center" wrapText="1"/>
    </xf>
    <xf numFmtId="0" fontId="20" fillId="4" borderId="1" xfId="2" applyFont="1" applyFill="1" applyAlignment="1">
      <alignment vertical="center" wrapText="1"/>
    </xf>
    <xf numFmtId="0" fontId="22" fillId="4" borderId="1" xfId="2" applyFont="1" applyFill="1" applyAlignment="1">
      <alignment horizontal="center"/>
    </xf>
    <xf numFmtId="0" fontId="22" fillId="0" borderId="1" xfId="2" applyFont="1" applyAlignment="1">
      <alignment horizontal="center"/>
    </xf>
    <xf numFmtId="0" fontId="23" fillId="4" borderId="1" xfId="2" applyFont="1" applyFill="1" applyAlignment="1">
      <alignment horizontal="left"/>
    </xf>
    <xf numFmtId="0" fontId="24" fillId="4" borderId="1" xfId="2" applyFont="1" applyFill="1" applyAlignment="1">
      <alignment horizontal="left"/>
    </xf>
    <xf numFmtId="0" fontId="23" fillId="4" borderId="1" xfId="2" applyFont="1" applyFill="1" applyAlignment="1">
      <alignment horizontal="center"/>
    </xf>
    <xf numFmtId="0" fontId="23" fillId="4" borderId="1" xfId="3" applyFont="1" applyFill="1"/>
    <xf numFmtId="0" fontId="23" fillId="4" borderId="1" xfId="3" applyFont="1" applyFill="1" applyAlignment="1">
      <alignment horizontal="center"/>
    </xf>
    <xf numFmtId="0" fontId="23" fillId="4" borderId="1" xfId="4" applyFont="1" applyFill="1" applyAlignment="1">
      <alignment horizontal="right"/>
    </xf>
    <xf numFmtId="2" fontId="26" fillId="5" borderId="1" xfId="3" applyNumberFormat="1" applyFont="1" applyFill="1" applyAlignment="1">
      <alignment horizontal="center" vertical="center"/>
    </xf>
    <xf numFmtId="0" fontId="23" fillId="4" borderId="1" xfId="4" applyFont="1" applyFill="1" applyAlignment="1">
      <alignment horizontal="center"/>
    </xf>
    <xf numFmtId="0" fontId="23" fillId="0" borderId="1" xfId="2" applyFont="1" applyAlignment="1">
      <alignment horizontal="center"/>
    </xf>
    <xf numFmtId="0" fontId="23" fillId="4" borderId="1" xfId="3" applyFont="1" applyFill="1" applyAlignment="1">
      <alignment horizontal="left"/>
    </xf>
    <xf numFmtId="2" fontId="26" fillId="4" borderId="1" xfId="4" applyNumberFormat="1" applyFont="1" applyFill="1" applyAlignment="1">
      <alignment horizontal="center"/>
    </xf>
    <xf numFmtId="0" fontId="23" fillId="4" borderId="19" xfId="3" applyFont="1" applyFill="1" applyBorder="1"/>
    <xf numFmtId="0" fontId="23" fillId="4" borderId="20" xfId="3" applyFont="1" applyFill="1" applyBorder="1" applyAlignment="1">
      <alignment horizontal="center"/>
    </xf>
    <xf numFmtId="0" fontId="23" fillId="4" borderId="21" xfId="3" applyFont="1" applyFill="1" applyBorder="1" applyAlignment="1">
      <alignment horizontal="center"/>
    </xf>
    <xf numFmtId="0" fontId="23" fillId="4" borderId="22" xfId="3" applyFont="1" applyFill="1" applyBorder="1"/>
    <xf numFmtId="0" fontId="23" fillId="4" borderId="23" xfId="3" applyFont="1" applyFill="1" applyBorder="1" applyAlignment="1">
      <alignment horizontal="center"/>
    </xf>
    <xf numFmtId="0" fontId="23" fillId="4" borderId="24" xfId="3" applyFont="1" applyFill="1" applyBorder="1" applyAlignment="1">
      <alignment horizontal="center"/>
    </xf>
    <xf numFmtId="0" fontId="23" fillId="4" borderId="23" xfId="3" applyFont="1" applyFill="1" applyBorder="1" applyAlignment="1">
      <alignment horizontal="left"/>
    </xf>
    <xf numFmtId="0" fontId="23" fillId="4" borderId="24" xfId="3" applyFont="1" applyFill="1" applyBorder="1"/>
    <xf numFmtId="0" fontId="23" fillId="4" borderId="25" xfId="3" applyFont="1" applyFill="1" applyBorder="1"/>
    <xf numFmtId="0" fontId="23" fillId="4" borderId="23" xfId="3" applyFont="1" applyFill="1" applyBorder="1"/>
    <xf numFmtId="0" fontId="23" fillId="4" borderId="26" xfId="3" applyFont="1" applyFill="1" applyBorder="1" applyAlignment="1">
      <alignment horizontal="center"/>
    </xf>
    <xf numFmtId="0" fontId="23" fillId="4" borderId="27" xfId="3" applyFont="1" applyFill="1" applyBorder="1" applyAlignment="1">
      <alignment horizontal="center"/>
    </xf>
    <xf numFmtId="0" fontId="23" fillId="4" borderId="28" xfId="3" applyFont="1" applyFill="1" applyBorder="1"/>
    <xf numFmtId="0" fontId="23" fillId="4" borderId="29" xfId="3" applyFont="1" applyFill="1" applyBorder="1" applyAlignment="1">
      <alignment horizontal="center"/>
    </xf>
    <xf numFmtId="0" fontId="23" fillId="4" borderId="30" xfId="3" applyFont="1" applyFill="1" applyBorder="1" applyAlignment="1">
      <alignment horizontal="center"/>
    </xf>
    <xf numFmtId="0" fontId="23" fillId="4" borderId="29" xfId="3" applyFont="1" applyFill="1" applyBorder="1"/>
    <xf numFmtId="0" fontId="23" fillId="4" borderId="25" xfId="3" applyFont="1" applyFill="1" applyBorder="1" applyAlignment="1">
      <alignment horizontal="center"/>
    </xf>
    <xf numFmtId="0" fontId="23" fillId="4" borderId="22" xfId="3" applyFont="1" applyFill="1" applyBorder="1" applyAlignment="1">
      <alignment horizontal="center"/>
    </xf>
    <xf numFmtId="0" fontId="26" fillId="5" borderId="27" xfId="5" applyFont="1" applyFill="1" applyBorder="1" applyAlignment="1">
      <alignment horizontal="center" vertical="center"/>
    </xf>
    <xf numFmtId="0" fontId="28" fillId="0" borderId="1" xfId="5" applyFont="1" applyAlignment="1">
      <alignment horizontal="center" vertical="center" wrapText="1"/>
    </xf>
    <xf numFmtId="0" fontId="26" fillId="0" borderId="27" xfId="5" applyFont="1" applyBorder="1" applyAlignment="1">
      <alignment horizontal="center" vertical="center" wrapText="1"/>
    </xf>
    <xf numFmtId="0" fontId="26" fillId="0" borderId="1" xfId="5" applyFont="1" applyAlignment="1">
      <alignment horizontal="center" vertical="center"/>
    </xf>
    <xf numFmtId="164" fontId="26" fillId="0" borderId="27" xfId="5" applyNumberFormat="1" applyFont="1" applyBorder="1" applyAlignment="1">
      <alignment horizontal="center" vertical="center"/>
    </xf>
    <xf numFmtId="2" fontId="26" fillId="0" borderId="1" xfId="5" applyNumberFormat="1" applyFont="1" applyAlignment="1">
      <alignment horizontal="center" vertical="center"/>
    </xf>
    <xf numFmtId="0" fontId="26" fillId="0" borderId="27" xfId="6" applyFont="1" applyBorder="1" applyAlignment="1">
      <alignment horizontal="center" vertical="center"/>
    </xf>
    <xf numFmtId="0" fontId="26" fillId="0" borderId="1" xfId="6" applyFont="1" applyAlignment="1">
      <alignment horizontal="center" vertical="center"/>
    </xf>
    <xf numFmtId="0" fontId="23" fillId="0" borderId="29" xfId="5" applyFont="1" applyBorder="1" applyAlignment="1">
      <alignment horizontal="center" vertical="center"/>
    </xf>
    <xf numFmtId="0" fontId="23" fillId="0" borderId="30" xfId="5" applyFont="1" applyBorder="1" applyAlignment="1">
      <alignment horizontal="center" vertical="center"/>
    </xf>
    <xf numFmtId="164" fontId="23" fillId="0" borderId="29" xfId="5" applyNumberFormat="1" applyFont="1" applyBorder="1" applyAlignment="1">
      <alignment horizontal="center" vertical="center" wrapText="1"/>
    </xf>
    <xf numFmtId="2" fontId="23" fillId="0" borderId="30" xfId="5" applyNumberFormat="1" applyFont="1" applyBorder="1" applyAlignment="1">
      <alignment horizontal="center" vertical="center"/>
    </xf>
    <xf numFmtId="2" fontId="23" fillId="5" borderId="29" xfId="5" applyNumberFormat="1" applyFont="1" applyFill="1" applyBorder="1" applyAlignment="1">
      <alignment horizontal="center" vertical="center"/>
    </xf>
    <xf numFmtId="2" fontId="23" fillId="0" borderId="29" xfId="6" applyNumberFormat="1" applyFont="1" applyBorder="1" applyAlignment="1">
      <alignment horizontal="center" vertical="center"/>
    </xf>
    <xf numFmtId="2" fontId="23" fillId="0" borderId="30" xfId="6" applyNumberFormat="1" applyFont="1" applyBorder="1" applyAlignment="1">
      <alignment horizontal="center" vertical="center"/>
    </xf>
    <xf numFmtId="2" fontId="23" fillId="0" borderId="29" xfId="5" applyNumberFormat="1" applyFont="1" applyBorder="1" applyAlignment="1">
      <alignment horizontal="center" vertical="center"/>
    </xf>
    <xf numFmtId="0" fontId="23" fillId="0" borderId="1" xfId="5" applyFont="1" applyAlignment="1">
      <alignment horizontal="center" vertical="center"/>
    </xf>
    <xf numFmtId="0" fontId="26" fillId="0" borderId="26" xfId="5" applyFont="1" applyBorder="1" applyAlignment="1">
      <alignment horizontal="center" vertical="center" wrapText="1"/>
    </xf>
    <xf numFmtId="2" fontId="26" fillId="0" borderId="26" xfId="5" applyNumberFormat="1" applyFont="1" applyBorder="1" applyAlignment="1">
      <alignment horizontal="center" vertical="center" wrapText="1"/>
    </xf>
    <xf numFmtId="2" fontId="26" fillId="0" borderId="27" xfId="6" applyNumberFormat="1" applyFont="1" applyBorder="1" applyAlignment="1">
      <alignment horizontal="center" vertical="center" wrapText="1"/>
    </xf>
    <xf numFmtId="2" fontId="26" fillId="0" borderId="1" xfId="6" applyNumberFormat="1" applyFont="1" applyAlignment="1">
      <alignment horizontal="center" vertical="center" wrapText="1"/>
    </xf>
    <xf numFmtId="2" fontId="26" fillId="0" borderId="27" xfId="5" applyNumberFormat="1" applyFont="1" applyBorder="1" applyAlignment="1">
      <alignment horizontal="center" vertical="center" wrapText="1"/>
    </xf>
    <xf numFmtId="2" fontId="26" fillId="0" borderId="1" xfId="5" applyNumberFormat="1" applyFont="1" applyAlignment="1">
      <alignment horizontal="center" vertical="center" wrapText="1"/>
    </xf>
    <xf numFmtId="0" fontId="26" fillId="0" borderId="1" xfId="5" applyFont="1" applyAlignment="1">
      <alignment horizontal="center" vertical="center" wrapText="1"/>
    </xf>
    <xf numFmtId="0" fontId="23" fillId="0" borderId="27" xfId="5" applyFont="1" applyBorder="1" applyAlignment="1">
      <alignment horizontal="center"/>
    </xf>
    <xf numFmtId="0" fontId="23" fillId="0" borderId="1" xfId="5" applyFont="1" applyAlignment="1">
      <alignment horizontal="center"/>
    </xf>
    <xf numFmtId="164" fontId="23" fillId="0" borderId="27" xfId="5" applyNumberFormat="1" applyFont="1" applyBorder="1" applyAlignment="1">
      <alignment horizontal="center" vertical="center" wrapText="1"/>
    </xf>
    <xf numFmtId="2" fontId="23" fillId="0" borderId="1" xfId="5" applyNumberFormat="1" applyFont="1" applyAlignment="1">
      <alignment horizontal="center"/>
    </xf>
    <xf numFmtId="2" fontId="23" fillId="0" borderId="27" xfId="5" applyNumberFormat="1" applyFont="1" applyBorder="1" applyAlignment="1">
      <alignment horizontal="center"/>
    </xf>
    <xf numFmtId="2" fontId="23" fillId="0" borderId="27" xfId="6" applyNumberFormat="1" applyFont="1" applyBorder="1" applyAlignment="1">
      <alignment horizontal="center"/>
    </xf>
    <xf numFmtId="2" fontId="23" fillId="0" borderId="1" xfId="6" applyNumberFormat="1" applyFont="1" applyAlignment="1">
      <alignment horizontal="center"/>
    </xf>
    <xf numFmtId="0" fontId="23" fillId="0" borderId="26" xfId="5" applyFont="1" applyBorder="1" applyAlignment="1">
      <alignment horizontal="center"/>
    </xf>
    <xf numFmtId="16" fontId="23" fillId="0" borderId="26" xfId="5" applyNumberFormat="1" applyFont="1" applyBorder="1" applyAlignment="1">
      <alignment horizontal="center"/>
    </xf>
    <xf numFmtId="2" fontId="31" fillId="0" borderId="27" xfId="5" applyNumberFormat="1" applyFont="1" applyBorder="1" applyAlignment="1">
      <alignment horizontal="center"/>
    </xf>
    <xf numFmtId="164" fontId="23" fillId="0" borderId="1" xfId="5" applyNumberFormat="1" applyFont="1" applyAlignment="1">
      <alignment horizontal="center"/>
    </xf>
    <xf numFmtId="164" fontId="31" fillId="0" borderId="26" xfId="5" applyNumberFormat="1" applyFont="1" applyBorder="1" applyAlignment="1">
      <alignment horizontal="center"/>
    </xf>
    <xf numFmtId="2" fontId="23" fillId="0" borderId="26" xfId="5" applyNumberFormat="1" applyFont="1" applyBorder="1" applyAlignment="1">
      <alignment horizontal="center"/>
    </xf>
    <xf numFmtId="2" fontId="23" fillId="0" borderId="26" xfId="6" applyNumberFormat="1" applyFont="1" applyBorder="1" applyAlignment="1">
      <alignment horizontal="center"/>
    </xf>
    <xf numFmtId="0" fontId="23" fillId="0" borderId="28" xfId="5" applyFont="1" applyBorder="1" applyAlignment="1">
      <alignment horizontal="center"/>
    </xf>
    <xf numFmtId="2" fontId="23" fillId="0" borderId="29" xfId="5" applyNumberFormat="1" applyFont="1" applyBorder="1" applyAlignment="1">
      <alignment horizontal="center"/>
    </xf>
    <xf numFmtId="2" fontId="23" fillId="0" borderId="30" xfId="5" applyNumberFormat="1" applyFont="1" applyBorder="1" applyAlignment="1">
      <alignment horizontal="center"/>
    </xf>
    <xf numFmtId="2" fontId="23" fillId="0" borderId="29" xfId="6" applyNumberFormat="1" applyFont="1" applyBorder="1" applyAlignment="1">
      <alignment horizontal="center"/>
    </xf>
    <xf numFmtId="2" fontId="23" fillId="0" borderId="30" xfId="6" applyNumberFormat="1" applyFont="1" applyBorder="1" applyAlignment="1">
      <alignment horizontal="center"/>
    </xf>
    <xf numFmtId="0" fontId="26" fillId="5" borderId="27" xfId="5" applyFont="1" applyFill="1" applyBorder="1" applyAlignment="1">
      <alignment horizontal="center" vertical="center" wrapText="1"/>
    </xf>
    <xf numFmtId="14" fontId="28" fillId="5" borderId="1" xfId="5" applyNumberFormat="1" applyFont="1" applyFill="1" applyAlignment="1">
      <alignment horizontal="center" vertical="center" wrapText="1"/>
    </xf>
    <xf numFmtId="0" fontId="26" fillId="0" borderId="27" xfId="7" applyFont="1" applyBorder="1" applyAlignment="1">
      <alignment horizontal="center" vertical="center"/>
    </xf>
    <xf numFmtId="164" fontId="26" fillId="0" borderId="27" xfId="5" applyNumberFormat="1" applyFont="1" applyBorder="1" applyAlignment="1">
      <alignment horizontal="center" vertical="center" wrapText="1"/>
    </xf>
    <xf numFmtId="0" fontId="26" fillId="0" borderId="27" xfId="6" applyFont="1" applyBorder="1" applyAlignment="1">
      <alignment horizontal="center" vertical="center" wrapText="1"/>
    </xf>
    <xf numFmtId="0" fontId="26" fillId="0" borderId="1" xfId="6" applyFont="1" applyAlignment="1">
      <alignment horizontal="center" vertical="center" wrapText="1"/>
    </xf>
    <xf numFmtId="0" fontId="23" fillId="0" borderId="27" xfId="5" applyFont="1" applyBorder="1" applyAlignment="1">
      <alignment horizontal="center" vertical="center"/>
    </xf>
    <xf numFmtId="0" fontId="23" fillId="0" borderId="27" xfId="5" applyFont="1" applyBorder="1" applyAlignment="1">
      <alignment horizontal="center" vertical="center" wrapText="1"/>
    </xf>
    <xf numFmtId="164" fontId="23" fillId="0" borderId="27" xfId="5" applyNumberFormat="1" applyFont="1" applyBorder="1" applyAlignment="1">
      <alignment horizontal="center" vertical="center"/>
    </xf>
    <xf numFmtId="164" fontId="23" fillId="0" borderId="1" xfId="5" applyNumberFormat="1" applyFont="1" applyAlignment="1">
      <alignment horizontal="center" vertical="center"/>
    </xf>
    <xf numFmtId="2" fontId="23" fillId="0" borderId="27" xfId="5" applyNumberFormat="1" applyFont="1" applyBorder="1" applyAlignment="1">
      <alignment horizontal="center" vertical="center"/>
    </xf>
    <xf numFmtId="2" fontId="23" fillId="0" borderId="1" xfId="5" applyNumberFormat="1" applyFont="1" applyAlignment="1">
      <alignment horizontal="center" vertical="center"/>
    </xf>
    <xf numFmtId="2" fontId="23" fillId="0" borderId="27" xfId="6" applyNumberFormat="1" applyFont="1" applyBorder="1" applyAlignment="1">
      <alignment horizontal="center" vertical="center"/>
    </xf>
    <xf numFmtId="2" fontId="23" fillId="0" borderId="1" xfId="6" applyNumberFormat="1" applyFont="1" applyAlignment="1">
      <alignment horizontal="center" vertical="center"/>
    </xf>
    <xf numFmtId="0" fontId="23" fillId="0" borderId="26" xfId="5" applyFont="1" applyBorder="1" applyAlignment="1">
      <alignment horizontal="center" vertical="center"/>
    </xf>
    <xf numFmtId="165" fontId="23" fillId="0" borderId="27" xfId="5" applyNumberFormat="1" applyFont="1" applyBorder="1" applyAlignment="1">
      <alignment horizontal="center" vertical="center"/>
    </xf>
    <xf numFmtId="0" fontId="23" fillId="0" borderId="27" xfId="6" applyFont="1" applyBorder="1" applyAlignment="1">
      <alignment horizontal="center" vertical="center"/>
    </xf>
    <xf numFmtId="0" fontId="23" fillId="0" borderId="27" xfId="7" applyFont="1" applyBorder="1" applyAlignment="1">
      <alignment horizontal="center" vertical="center"/>
    </xf>
    <xf numFmtId="0" fontId="23" fillId="0" borderId="29" xfId="5" applyFont="1" applyBorder="1" applyAlignment="1">
      <alignment horizontal="center" vertical="center" wrapText="1"/>
    </xf>
    <xf numFmtId="164" fontId="23" fillId="0" borderId="29" xfId="7" applyNumberFormat="1" applyFont="1" applyBorder="1" applyAlignment="1">
      <alignment horizontal="center" vertical="center"/>
    </xf>
    <xf numFmtId="164" fontId="23" fillId="0" borderId="30" xfId="5" applyNumberFormat="1" applyFont="1" applyBorder="1" applyAlignment="1">
      <alignment horizontal="center" vertical="center"/>
    </xf>
    <xf numFmtId="0" fontId="23" fillId="0" borderId="29" xfId="6" applyFont="1" applyBorder="1" applyAlignment="1">
      <alignment horizontal="center" vertical="center"/>
    </xf>
    <xf numFmtId="0" fontId="31" fillId="0" borderId="1" xfId="5" applyFont="1" applyAlignment="1">
      <alignment horizontal="center" vertical="center"/>
    </xf>
    <xf numFmtId="2" fontId="31" fillId="0" borderId="27" xfId="5" applyNumberFormat="1" applyFont="1" applyBorder="1" applyAlignment="1">
      <alignment horizontal="center" vertical="center"/>
    </xf>
    <xf numFmtId="0" fontId="23" fillId="0" borderId="29" xfId="5" applyFont="1" applyBorder="1" applyAlignment="1">
      <alignment horizontal="center"/>
    </xf>
    <xf numFmtId="164" fontId="31" fillId="0" borderId="28" xfId="5" applyNumberFormat="1" applyFont="1" applyBorder="1" applyAlignment="1">
      <alignment horizontal="center"/>
    </xf>
    <xf numFmtId="2" fontId="23" fillId="0" borderId="28" xfId="5" applyNumberFormat="1" applyFont="1" applyBorder="1" applyAlignment="1">
      <alignment horizontal="center"/>
    </xf>
    <xf numFmtId="2" fontId="23" fillId="0" borderId="28" xfId="6" applyNumberFormat="1" applyFont="1" applyBorder="1" applyAlignment="1">
      <alignment horizontal="center"/>
    </xf>
    <xf numFmtId="164" fontId="23" fillId="0" borderId="27" xfId="5" applyNumberFormat="1" applyFont="1" applyBorder="1" applyAlignment="1">
      <alignment horizontal="center"/>
    </xf>
    <xf numFmtId="0" fontId="23" fillId="0" borderId="27" xfId="6" applyFont="1" applyBorder="1" applyAlignment="1">
      <alignment horizontal="center"/>
    </xf>
    <xf numFmtId="0" fontId="33" fillId="0" borderId="1" xfId="5" applyFont="1" applyAlignment="1">
      <alignment horizontal="center"/>
    </xf>
    <xf numFmtId="0" fontId="23" fillId="0" borderId="30" xfId="5" applyFont="1" applyBorder="1" applyAlignment="1">
      <alignment horizontal="center"/>
    </xf>
    <xf numFmtId="164" fontId="23" fillId="0" borderId="29" xfId="5" applyNumberFormat="1" applyFont="1" applyBorder="1" applyAlignment="1">
      <alignment horizontal="center"/>
    </xf>
    <xf numFmtId="164" fontId="23" fillId="0" borderId="30" xfId="5" applyNumberFormat="1" applyFont="1" applyBorder="1" applyAlignment="1">
      <alignment horizontal="center"/>
    </xf>
    <xf numFmtId="0" fontId="23" fillId="0" borderId="29" xfId="6" applyFont="1" applyBorder="1" applyAlignment="1">
      <alignment horizontal="center"/>
    </xf>
    <xf numFmtId="165" fontId="23" fillId="0" borderId="27" xfId="5" applyNumberFormat="1" applyFont="1" applyBorder="1" applyAlignment="1">
      <alignment horizontal="center"/>
    </xf>
    <xf numFmtId="0" fontId="23" fillId="0" borderId="1" xfId="5" applyFont="1"/>
    <xf numFmtId="165" fontId="23" fillId="0" borderId="29" xfId="5" applyNumberFormat="1" applyFont="1" applyBorder="1" applyAlignment="1">
      <alignment horizontal="center"/>
    </xf>
    <xf numFmtId="0" fontId="26" fillId="0" borderId="27" xfId="5" applyFont="1" applyBorder="1" applyAlignment="1">
      <alignment horizontal="center"/>
    </xf>
    <xf numFmtId="0" fontId="26" fillId="0" borderId="1" xfId="5" applyFont="1" applyAlignment="1">
      <alignment horizontal="center"/>
    </xf>
    <xf numFmtId="164" fontId="26" fillId="0" borderId="27" xfId="5" applyNumberFormat="1" applyFont="1" applyBorder="1" applyAlignment="1">
      <alignment horizontal="center"/>
    </xf>
    <xf numFmtId="2" fontId="26" fillId="0" borderId="1" xfId="5" applyNumberFormat="1" applyFont="1" applyAlignment="1">
      <alignment horizontal="center"/>
    </xf>
    <xf numFmtId="2" fontId="26" fillId="0" borderId="27" xfId="5" applyNumberFormat="1" applyFont="1" applyBorder="1" applyAlignment="1">
      <alignment horizontal="center"/>
    </xf>
    <xf numFmtId="0" fontId="26" fillId="0" borderId="27" xfId="6" applyFont="1" applyBorder="1" applyAlignment="1">
      <alignment horizontal="center"/>
    </xf>
    <xf numFmtId="0" fontId="26" fillId="0" borderId="1" xfId="6" applyFont="1" applyAlignment="1">
      <alignment horizontal="center"/>
    </xf>
    <xf numFmtId="0" fontId="23" fillId="0" borderId="1" xfId="6" applyFont="1" applyAlignment="1">
      <alignment horizontal="center"/>
    </xf>
    <xf numFmtId="1" fontId="23" fillId="0" borderId="29" xfId="5" applyNumberFormat="1" applyFont="1" applyBorder="1" applyAlignment="1">
      <alignment horizontal="center"/>
    </xf>
    <xf numFmtId="164" fontId="23" fillId="0" borderId="29" xfId="5" applyNumberFormat="1" applyFont="1" applyBorder="1" applyAlignment="1">
      <alignment horizontal="center" vertical="center"/>
    </xf>
    <xf numFmtId="164" fontId="31" fillId="0" borderId="27" xfId="5" applyNumberFormat="1" applyFont="1" applyBorder="1" applyAlignment="1">
      <alignment horizontal="center"/>
    </xf>
    <xf numFmtId="0" fontId="23" fillId="0" borderId="30" xfId="6" applyFont="1" applyBorder="1" applyAlignment="1">
      <alignment horizontal="center"/>
    </xf>
    <xf numFmtId="0" fontId="34" fillId="0" borderId="1" xfId="5" applyFont="1" applyAlignment="1">
      <alignment horizontal="center" vertical="center" wrapText="1"/>
    </xf>
    <xf numFmtId="0" fontId="26" fillId="0" borderId="27" xfId="5" applyFont="1" applyBorder="1" applyAlignment="1">
      <alignment horizontal="center" vertical="center"/>
    </xf>
    <xf numFmtId="0" fontId="26" fillId="0" borderId="26" xfId="5" applyFont="1" applyBorder="1" applyAlignment="1">
      <alignment horizontal="center" vertical="center"/>
    </xf>
    <xf numFmtId="2" fontId="26" fillId="0" borderId="26" xfId="5" applyNumberFormat="1" applyFont="1" applyBorder="1" applyAlignment="1">
      <alignment horizontal="center" vertical="center"/>
    </xf>
    <xf numFmtId="2" fontId="26" fillId="0" borderId="27" xfId="6" applyNumberFormat="1" applyFont="1" applyBorder="1" applyAlignment="1">
      <alignment horizontal="center" vertical="center"/>
    </xf>
    <xf numFmtId="2" fontId="26" fillId="0" borderId="1" xfId="6" applyNumberFormat="1" applyFont="1" applyAlignment="1">
      <alignment horizontal="center" vertical="center"/>
    </xf>
    <xf numFmtId="2" fontId="26" fillId="0" borderId="27" xfId="5" applyNumberFormat="1" applyFont="1" applyBorder="1" applyAlignment="1">
      <alignment horizontal="center" vertical="center"/>
    </xf>
    <xf numFmtId="0" fontId="23" fillId="0" borderId="26" xfId="5" applyFont="1" applyBorder="1" applyAlignment="1">
      <alignment horizontal="center" vertical="center" wrapText="1"/>
    </xf>
    <xf numFmtId="2" fontId="23" fillId="0" borderId="27" xfId="5" applyNumberFormat="1" applyFont="1" applyBorder="1" applyAlignment="1">
      <alignment horizontal="center" vertical="center" wrapText="1"/>
    </xf>
    <xf numFmtId="2" fontId="23" fillId="0" borderId="1" xfId="5" applyNumberFormat="1" applyFont="1" applyAlignment="1">
      <alignment horizontal="center" vertical="center" wrapText="1"/>
    </xf>
    <xf numFmtId="2" fontId="23" fillId="0" borderId="27" xfId="6" applyNumberFormat="1" applyFont="1" applyBorder="1" applyAlignment="1">
      <alignment horizontal="center" vertical="center" wrapText="1"/>
    </xf>
    <xf numFmtId="2" fontId="23" fillId="0" borderId="1" xfId="6" applyNumberFormat="1" applyFont="1" applyAlignment="1">
      <alignment horizontal="center" vertical="center" wrapText="1"/>
    </xf>
    <xf numFmtId="0" fontId="23" fillId="0" borderId="1" xfId="5" applyFont="1" applyAlignment="1">
      <alignment horizontal="center" vertical="center" wrapText="1"/>
    </xf>
    <xf numFmtId="0" fontId="35" fillId="0" borderId="1" xfId="8"/>
    <xf numFmtId="0" fontId="26" fillId="0" borderId="1" xfId="5" applyFont="1" applyAlignment="1">
      <alignment vertical="center" wrapText="1"/>
    </xf>
    <xf numFmtId="165" fontId="23" fillId="0" borderId="1" xfId="5" applyNumberFormat="1" applyFont="1" applyAlignment="1">
      <alignment horizontal="center" vertical="center" wrapText="1"/>
    </xf>
    <xf numFmtId="0" fontId="23" fillId="0" borderId="27" xfId="6" applyFont="1" applyBorder="1" applyAlignment="1">
      <alignment horizontal="center" vertical="center" wrapText="1"/>
    </xf>
    <xf numFmtId="0" fontId="23" fillId="0" borderId="1" xfId="5" applyFont="1" applyAlignment="1">
      <alignment vertical="center" wrapText="1"/>
    </xf>
    <xf numFmtId="164" fontId="26" fillId="0" borderId="1" xfId="5" applyNumberFormat="1" applyFont="1" applyAlignment="1">
      <alignment horizontal="center" vertical="center" wrapText="1"/>
    </xf>
    <xf numFmtId="14" fontId="26" fillId="0" borderId="27" xfId="5" applyNumberFormat="1" applyFont="1" applyBorder="1" applyAlignment="1">
      <alignment horizontal="center" vertical="center" wrapText="1"/>
    </xf>
    <xf numFmtId="166" fontId="26" fillId="0" borderId="27" xfId="5" applyNumberFormat="1" applyFont="1" applyBorder="1" applyAlignment="1">
      <alignment horizontal="center" vertical="center" wrapText="1"/>
    </xf>
    <xf numFmtId="14" fontId="23" fillId="0" borderId="27" xfId="5" applyNumberFormat="1" applyFont="1" applyBorder="1" applyAlignment="1">
      <alignment horizontal="center"/>
    </xf>
    <xf numFmtId="0" fontId="26" fillId="0" borderId="1" xfId="5" applyFont="1" applyAlignment="1">
      <alignment vertical="center"/>
    </xf>
    <xf numFmtId="0" fontId="23" fillId="0" borderId="1" xfId="5" applyFont="1" applyAlignment="1">
      <alignment vertical="center"/>
    </xf>
    <xf numFmtId="0" fontId="23" fillId="0" borderId="1" xfId="5" quotePrefix="1" applyFont="1" applyAlignment="1">
      <alignment horizontal="center" vertical="center" wrapText="1"/>
    </xf>
    <xf numFmtId="14" fontId="23" fillId="0" borderId="30" xfId="5" quotePrefix="1" applyNumberFormat="1" applyFont="1" applyBorder="1" applyAlignment="1">
      <alignment horizontal="center" vertical="center" wrapText="1"/>
    </xf>
    <xf numFmtId="0" fontId="23" fillId="0" borderId="30" xfId="5" applyFont="1" applyBorder="1" applyAlignment="1">
      <alignment horizontal="center" vertical="center" wrapText="1"/>
    </xf>
    <xf numFmtId="2" fontId="23" fillId="0" borderId="30" xfId="5" applyNumberFormat="1" applyFont="1" applyBorder="1" applyAlignment="1">
      <alignment horizontal="center" vertical="center" wrapText="1"/>
    </xf>
    <xf numFmtId="2" fontId="23" fillId="0" borderId="29" xfId="5" applyNumberFormat="1" applyFont="1" applyBorder="1" applyAlignment="1">
      <alignment horizontal="center" vertical="center" wrapText="1"/>
    </xf>
    <xf numFmtId="2" fontId="26" fillId="5" borderId="1" xfId="5" applyNumberFormat="1" applyFont="1" applyFill="1" applyAlignment="1">
      <alignment horizontal="center" vertical="center" wrapText="1"/>
    </xf>
    <xf numFmtId="0" fontId="26" fillId="0" borderId="29" xfId="5" applyFont="1" applyBorder="1" applyAlignment="1">
      <alignment horizontal="center" vertical="center" wrapText="1"/>
    </xf>
    <xf numFmtId="0" fontId="28" fillId="0" borderId="30" xfId="5" applyFont="1" applyBorder="1" applyAlignment="1">
      <alignment horizontal="center" vertical="center" wrapText="1"/>
    </xf>
    <xf numFmtId="0" fontId="26" fillId="0" borderId="30" xfId="5" applyFont="1" applyBorder="1" applyAlignment="1">
      <alignment horizontal="center" vertical="center" wrapText="1"/>
    </xf>
    <xf numFmtId="164" fontId="26" fillId="0" borderId="29" xfId="5" applyNumberFormat="1" applyFont="1" applyBorder="1" applyAlignment="1">
      <alignment horizontal="center" vertical="center" wrapText="1"/>
    </xf>
    <xf numFmtId="2" fontId="26" fillId="0" borderId="30" xfId="5" applyNumberFormat="1" applyFont="1" applyBorder="1" applyAlignment="1">
      <alignment horizontal="center" vertical="center" wrapText="1"/>
    </xf>
    <xf numFmtId="0" fontId="20" fillId="5" borderId="22" xfId="2" applyFont="1" applyFill="1" applyBorder="1" applyAlignment="1">
      <alignment horizontal="center" vertical="center"/>
    </xf>
    <xf numFmtId="2" fontId="20" fillId="5" borderId="22" xfId="2" applyNumberFormat="1" applyFont="1" applyFill="1" applyBorder="1" applyAlignment="1">
      <alignment horizontal="center" vertical="center"/>
    </xf>
    <xf numFmtId="164" fontId="20" fillId="5" borderId="22" xfId="2" applyNumberFormat="1" applyFont="1" applyFill="1" applyBorder="1" applyAlignment="1">
      <alignment horizontal="center" vertical="center"/>
    </xf>
    <xf numFmtId="0" fontId="20" fillId="5" borderId="22" xfId="3" applyFont="1" applyFill="1" applyBorder="1" applyAlignment="1">
      <alignment horizontal="center" vertical="center"/>
    </xf>
    <xf numFmtId="2" fontId="34" fillId="5" borderId="22" xfId="3" applyNumberFormat="1" applyFont="1" applyFill="1" applyBorder="1" applyAlignment="1">
      <alignment horizontal="center" vertical="center"/>
    </xf>
    <xf numFmtId="2" fontId="34" fillId="5" borderId="22" xfId="2" applyNumberFormat="1" applyFont="1" applyFill="1" applyBorder="1" applyAlignment="1">
      <alignment horizontal="center" vertical="center"/>
    </xf>
    <xf numFmtId="0" fontId="36" fillId="0" borderId="1" xfId="2" applyFont="1" applyAlignment="1">
      <alignment horizontal="center"/>
    </xf>
    <xf numFmtId="0" fontId="37" fillId="5" borderId="22" xfId="2" applyFont="1" applyFill="1" applyBorder="1" applyAlignment="1">
      <alignment horizontal="center" vertical="center" wrapText="1"/>
    </xf>
    <xf numFmtId="0" fontId="26" fillId="5" borderId="22" xfId="2" applyFont="1" applyFill="1" applyBorder="1" applyAlignment="1">
      <alignment horizontal="center" wrapText="1"/>
    </xf>
    <xf numFmtId="9" fontId="20" fillId="5" borderId="22" xfId="2" applyNumberFormat="1" applyFont="1" applyFill="1" applyBorder="1" applyAlignment="1">
      <alignment horizontal="center" vertical="center"/>
    </xf>
    <xf numFmtId="0" fontId="26" fillId="5" borderId="22" xfId="2" applyFont="1" applyFill="1" applyBorder="1" applyAlignment="1">
      <alignment horizontal="center" vertical="center" wrapText="1"/>
    </xf>
    <xf numFmtId="0" fontId="36" fillId="4" borderId="22" xfId="2" applyFont="1" applyFill="1" applyBorder="1" applyAlignment="1">
      <alignment horizontal="center"/>
    </xf>
    <xf numFmtId="0" fontId="20" fillId="4" borderId="22" xfId="2" applyFont="1" applyFill="1" applyBorder="1" applyAlignment="1">
      <alignment horizontal="center"/>
    </xf>
    <xf numFmtId="9" fontId="20" fillId="4" borderId="22" xfId="2" applyNumberFormat="1" applyFont="1" applyFill="1" applyBorder="1" applyAlignment="1">
      <alignment horizontal="center"/>
    </xf>
    <xf numFmtId="164" fontId="36" fillId="4" borderId="22" xfId="2" applyNumberFormat="1" applyFont="1" applyFill="1" applyBorder="1" applyAlignment="1">
      <alignment horizontal="center"/>
    </xf>
    <xf numFmtId="2" fontId="36" fillId="4" borderId="22" xfId="2" applyNumberFormat="1" applyFont="1" applyFill="1" applyBorder="1" applyAlignment="1">
      <alignment horizontal="center"/>
    </xf>
    <xf numFmtId="2" fontId="34" fillId="4" borderId="22" xfId="2" applyNumberFormat="1" applyFont="1" applyFill="1" applyBorder="1" applyAlignment="1">
      <alignment horizontal="center"/>
    </xf>
    <xf numFmtId="0" fontId="36" fillId="0" borderId="26" xfId="2" applyFont="1" applyBorder="1" applyAlignment="1">
      <alignment horizontal="center"/>
    </xf>
    <xf numFmtId="0" fontId="22" fillId="4" borderId="22" xfId="2" applyFont="1" applyFill="1" applyBorder="1" applyAlignment="1">
      <alignment horizontal="center"/>
    </xf>
    <xf numFmtId="0" fontId="21" fillId="4" borderId="22" xfId="2" applyFont="1" applyFill="1" applyBorder="1" applyAlignment="1">
      <alignment horizontal="center"/>
    </xf>
    <xf numFmtId="166" fontId="34" fillId="4" borderId="22" xfId="2" applyNumberFormat="1" applyFont="1" applyFill="1" applyBorder="1" applyAlignment="1">
      <alignment horizontal="center"/>
    </xf>
    <xf numFmtId="0" fontId="22" fillId="0" borderId="26" xfId="2" applyFont="1" applyBorder="1" applyAlignment="1">
      <alignment horizontal="center"/>
    </xf>
    <xf numFmtId="0" fontId="22" fillId="0" borderId="22" xfId="2" applyFont="1" applyBorder="1" applyAlignment="1">
      <alignment horizontal="center"/>
    </xf>
    <xf numFmtId="0" fontId="26" fillId="0" borderId="22" xfId="9" applyFont="1" applyBorder="1" applyAlignment="1">
      <alignment horizontal="center" vertical="center"/>
    </xf>
    <xf numFmtId="9" fontId="20" fillId="0" borderId="22" xfId="2" applyNumberFormat="1" applyFont="1" applyBorder="1" applyAlignment="1">
      <alignment horizontal="center"/>
    </xf>
    <xf numFmtId="2" fontId="28" fillId="0" borderId="22" xfId="2" applyNumberFormat="1" applyFont="1" applyBorder="1" applyAlignment="1">
      <alignment horizontal="center"/>
    </xf>
    <xf numFmtId="0" fontId="26" fillId="4" borderId="22" xfId="2" applyFont="1" applyFill="1" applyBorder="1" applyAlignment="1">
      <alignment horizontal="center"/>
    </xf>
    <xf numFmtId="2" fontId="28" fillId="4" borderId="22" xfId="2" applyNumberFormat="1" applyFont="1" applyFill="1" applyBorder="1" applyAlignment="1">
      <alignment horizontal="center"/>
    </xf>
    <xf numFmtId="9" fontId="26" fillId="0" borderId="22" xfId="10" applyFont="1" applyBorder="1" applyAlignment="1">
      <alignment horizontal="center" vertical="center"/>
    </xf>
    <xf numFmtId="0" fontId="26" fillId="0" borderId="22" xfId="9" applyFont="1" applyBorder="1" applyAlignment="1">
      <alignment horizontal="center"/>
    </xf>
    <xf numFmtId="0" fontId="21" fillId="0" borderId="22" xfId="2" applyFont="1" applyBorder="1" applyAlignment="1">
      <alignment horizontal="center"/>
    </xf>
    <xf numFmtId="0" fontId="20" fillId="0" borderId="1" xfId="1" applyFont="1" applyAlignment="1">
      <alignment vertical="center" wrapText="1"/>
    </xf>
    <xf numFmtId="0" fontId="26" fillId="5" borderId="1" xfId="11" applyFont="1" applyFill="1" applyAlignment="1">
      <alignment horizontal="center" vertical="center" wrapText="1"/>
    </xf>
    <xf numFmtId="0" fontId="28" fillId="0" borderId="27" xfId="5" applyFont="1" applyBorder="1" applyAlignment="1">
      <alignment horizontal="center" vertical="center" wrapText="1"/>
    </xf>
    <xf numFmtId="0" fontId="38" fillId="0" borderId="27" xfId="5" applyFont="1" applyBorder="1" applyAlignment="1">
      <alignment horizontal="center"/>
    </xf>
    <xf numFmtId="0" fontId="34" fillId="0" borderId="27" xfId="5" applyFont="1" applyBorder="1" applyAlignment="1">
      <alignment horizontal="center" vertical="center" wrapText="1"/>
    </xf>
    <xf numFmtId="0" fontId="27" fillId="0" borderId="22" xfId="5" applyBorder="1" applyAlignment="1">
      <alignment horizontal="center" vertical="center"/>
    </xf>
    <xf numFmtId="0" fontId="18" fillId="6" borderId="22" xfId="5" applyFont="1" applyFill="1" applyBorder="1" applyAlignment="1">
      <alignment horizontal="center" vertical="center"/>
    </xf>
    <xf numFmtId="0" fontId="27" fillId="0" borderId="22" xfId="5" applyBorder="1" applyAlignment="1">
      <alignment horizontal="center" vertical="center" wrapText="1"/>
    </xf>
    <xf numFmtId="2" fontId="27" fillId="0" borderId="22" xfId="5" applyNumberFormat="1" applyBorder="1" applyAlignment="1">
      <alignment horizontal="center" vertical="center"/>
    </xf>
    <xf numFmtId="2" fontId="18" fillId="6" borderId="22" xfId="5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0" xfId="0"/>
    <xf numFmtId="0" fontId="14" fillId="0" borderId="17" xfId="0" applyFont="1" applyBorder="1" applyAlignment="1">
      <alignment horizontal="center" vertical="center" wrapText="1"/>
    </xf>
    <xf numFmtId="0" fontId="20" fillId="0" borderId="1" xfId="1" applyFont="1" applyAlignment="1">
      <alignment horizontal="left" vertical="center" wrapText="1"/>
    </xf>
    <xf numFmtId="0" fontId="33" fillId="0" borderId="1" xfId="5" applyFont="1" applyAlignment="1">
      <alignment horizontal="center" vertical="center" wrapText="1"/>
    </xf>
    <xf numFmtId="0" fontId="35" fillId="0" borderId="26" xfId="8" applyBorder="1" applyAlignment="1">
      <alignment horizontal="center" vertical="center" wrapText="1"/>
    </xf>
  </cellXfs>
  <cellStyles count="16">
    <cellStyle name="Hyperlink" xfId="8" builtinId="8"/>
    <cellStyle name="Normal" xfId="0" builtinId="0"/>
    <cellStyle name="Normal 10" xfId="14" xr:uid="{EECB899B-A873-4227-8486-FE0EC56A4BA2}"/>
    <cellStyle name="Normal 13 3 3" xfId="11" xr:uid="{A2CD1E6A-DD30-4E9A-B537-AE107D132F9D}"/>
    <cellStyle name="Normal 13 3 3 2" xfId="15" xr:uid="{E8A41BF7-23E4-4B46-A643-A585AF85A826}"/>
    <cellStyle name="Normal 16 2" xfId="1" xr:uid="{B045DD18-BE40-41A2-8A10-E1F37305FC69}"/>
    <cellStyle name="Normal 2" xfId="5" xr:uid="{03BB9DD3-E5BE-4EB2-824F-191F7029BE2A}"/>
    <cellStyle name="Normal 3" xfId="9" xr:uid="{8B25EEEE-7AD0-4740-8672-1844132A485A}"/>
    <cellStyle name="Normal 36" xfId="12" xr:uid="{62C15E98-E915-47C2-B77F-A4D332B53FB1}"/>
    <cellStyle name="Normal 4 2" xfId="13" xr:uid="{2644C04B-7058-4950-A247-F4C49CB683C0}"/>
    <cellStyle name="Normal_gare wyalsadfenigagarini 10" xfId="6" xr:uid="{13DB7FA5-E640-4C81-A204-85314ECD9900}"/>
    <cellStyle name="Normal_gare wyalsadfenigagarini 2 2" xfId="3" xr:uid="{1A078395-D6F9-45B9-BE63-67858676C0BE}"/>
    <cellStyle name="Normal_sida wyalsadeni 2 2" xfId="4" xr:uid="{2C907104-02A4-4357-BCC3-A6A07B6BC975}"/>
    <cellStyle name="Normal_SMETA 3" xfId="7" xr:uid="{B5DC4F96-1214-4E5F-BF60-1566DD466DE9}"/>
    <cellStyle name="Percent 2" xfId="10" xr:uid="{41B56B1E-8666-41A5-A05C-022598DF0370}"/>
    <cellStyle name="Обычный 4 2" xfId="2" xr:uid="{C7CC9705-FE9E-4CBB-A744-B22EBEBD80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7A76A-E918-4506-8746-70DA398F9D67}">
  <sheetPr>
    <tabColor rgb="FF408046"/>
  </sheetPr>
  <dimension ref="A1:C5"/>
  <sheetViews>
    <sheetView workbookViewId="0">
      <selection activeCell="H10" sqref="H10"/>
    </sheetView>
  </sheetViews>
  <sheetFormatPr defaultRowHeight="15" x14ac:dyDescent="0.25"/>
  <cols>
    <col min="1" max="1" width="6" customWidth="1"/>
    <col min="2" max="2" width="52" customWidth="1"/>
    <col min="3" max="3" width="28.42578125" customWidth="1"/>
  </cols>
  <sheetData>
    <row r="1" spans="1:3" ht="26.25" customHeight="1" x14ac:dyDescent="0.25">
      <c r="A1" s="352" t="s">
        <v>202</v>
      </c>
      <c r="B1" s="352" t="s">
        <v>203</v>
      </c>
      <c r="C1" s="352" t="s">
        <v>204</v>
      </c>
    </row>
    <row r="2" spans="1:3" ht="51" customHeight="1" x14ac:dyDescent="0.25">
      <c r="A2" s="351">
        <v>1</v>
      </c>
      <c r="B2" s="353" t="s">
        <v>206</v>
      </c>
      <c r="C2" s="354">
        <f>'დამი ნიჟარაძის კოშკი'!L10</f>
        <v>0</v>
      </c>
    </row>
    <row r="3" spans="1:3" ht="51" customHeight="1" x14ac:dyDescent="0.25">
      <c r="A3" s="351">
        <v>2</v>
      </c>
      <c r="B3" s="353" t="s">
        <v>207</v>
      </c>
      <c r="C3" s="354">
        <f>'ილო ნიჟარაძის კოშკი'!L10</f>
        <v>0</v>
      </c>
    </row>
    <row r="4" spans="1:3" ht="51" customHeight="1" x14ac:dyDescent="0.25">
      <c r="A4" s="351">
        <v>3</v>
      </c>
      <c r="B4" s="353" t="s">
        <v>208</v>
      </c>
      <c r="C4" s="354">
        <f>'თამარის კოშკი'!L10</f>
        <v>0</v>
      </c>
    </row>
    <row r="5" spans="1:3" ht="35.25" customHeight="1" x14ac:dyDescent="0.25">
      <c r="A5" s="352"/>
      <c r="B5" s="352" t="s">
        <v>205</v>
      </c>
      <c r="C5" s="355">
        <f>SUM(C2:C4)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408046"/>
  </sheetPr>
  <dimension ref="A1:AH1000"/>
  <sheetViews>
    <sheetView workbookViewId="0">
      <selection activeCell="B11" sqref="B11"/>
    </sheetView>
  </sheetViews>
  <sheetFormatPr defaultColWidth="14.42578125" defaultRowHeight="15" customHeight="1" x14ac:dyDescent="0.25"/>
  <cols>
    <col min="1" max="1" width="3.85546875" customWidth="1"/>
    <col min="2" max="2" width="8.7109375" customWidth="1"/>
    <col min="3" max="3" width="41.5703125" customWidth="1"/>
    <col min="4" max="4" width="7.7109375" customWidth="1"/>
    <col min="5" max="5" width="8.7109375" customWidth="1"/>
    <col min="6" max="6" width="9.85546875" customWidth="1"/>
    <col min="7" max="7" width="7.140625" customWidth="1"/>
    <col min="8" max="8" width="8.140625" customWidth="1"/>
    <col min="9" max="9" width="8" customWidth="1"/>
    <col min="10" max="10" width="8.5703125" customWidth="1"/>
    <col min="11" max="11" width="7" customWidth="1"/>
    <col min="12" max="12" width="9.85546875" customWidth="1"/>
    <col min="13" max="13" width="10.5703125" customWidth="1"/>
    <col min="14" max="34" width="9.140625" customWidth="1"/>
  </cols>
  <sheetData>
    <row r="1" spans="1:34" ht="30.75" customHeight="1" x14ac:dyDescent="0.3">
      <c r="A1" s="356" t="s">
        <v>0</v>
      </c>
      <c r="B1" s="357"/>
      <c r="C1" s="357"/>
      <c r="D1" s="357"/>
      <c r="E1" s="357"/>
      <c r="F1" s="357"/>
      <c r="G1" s="3"/>
      <c r="H1" s="4"/>
      <c r="I1" s="5"/>
      <c r="J1" s="5"/>
      <c r="K1" s="5"/>
      <c r="L1" s="5"/>
      <c r="M1" s="5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" customHeight="1" x14ac:dyDescent="0.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" customHeight="1" x14ac:dyDescent="0.3">
      <c r="A3" s="5"/>
      <c r="B3" s="5"/>
      <c r="C3" s="6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8" customHeight="1" x14ac:dyDescent="0.4">
      <c r="A5" s="5"/>
      <c r="B5" s="5"/>
      <c r="C5" s="7" t="s">
        <v>3</v>
      </c>
      <c r="D5" s="5"/>
      <c r="E5" s="5"/>
      <c r="F5" s="5"/>
      <c r="G5" s="5"/>
      <c r="H5" s="5"/>
      <c r="I5" s="5"/>
      <c r="J5" s="5"/>
      <c r="K5" s="5"/>
      <c r="L5" s="5"/>
      <c r="M5" s="5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5" customHeight="1" x14ac:dyDescent="0.3">
      <c r="A6" s="5"/>
      <c r="B6" s="5"/>
      <c r="C6" s="5" t="s">
        <v>4</v>
      </c>
      <c r="D6" s="5"/>
      <c r="E6" s="5"/>
      <c r="F6" s="5"/>
      <c r="G6" s="5"/>
      <c r="H6" s="5"/>
      <c r="I6" s="5"/>
      <c r="J6" s="5"/>
      <c r="K6" s="5"/>
      <c r="L6" s="5"/>
      <c r="M6" s="5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10.5" customHeight="1" x14ac:dyDescent="0.3">
      <c r="A7" s="5"/>
      <c r="B7" s="5"/>
      <c r="C7" s="5" t="s">
        <v>5</v>
      </c>
      <c r="D7" s="5"/>
      <c r="E7" s="5"/>
      <c r="F7" s="5"/>
      <c r="G7" s="5"/>
      <c r="H7" s="5"/>
      <c r="I7" s="5"/>
      <c r="J7" s="5"/>
      <c r="K7" s="5"/>
      <c r="L7" s="5"/>
      <c r="M7" s="5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15" customHeight="1" x14ac:dyDescent="0.3">
      <c r="A8" s="5"/>
      <c r="B8" s="5"/>
      <c r="C8" s="6" t="s">
        <v>6</v>
      </c>
      <c r="D8" s="5"/>
      <c r="E8" s="5"/>
      <c r="F8" s="5"/>
      <c r="G8" s="5"/>
      <c r="H8" s="5"/>
      <c r="I8" s="5"/>
      <c r="J8" s="5"/>
      <c r="K8" s="5"/>
      <c r="L8" s="5"/>
      <c r="M8" s="5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15" customHeight="1" x14ac:dyDescent="0.3">
      <c r="A9" s="5"/>
      <c r="B9" s="5"/>
      <c r="C9" s="8"/>
      <c r="D9" s="5"/>
      <c r="E9" s="5"/>
      <c r="F9" s="5"/>
      <c r="G9" s="5"/>
      <c r="H9" s="5"/>
      <c r="I9" s="5"/>
      <c r="J9" s="5"/>
      <c r="K9" s="5"/>
      <c r="L9" s="5"/>
      <c r="M9" s="5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15" customHeight="1" x14ac:dyDescent="0.25">
      <c r="A10" s="9" t="s">
        <v>7</v>
      </c>
      <c r="B10" s="8"/>
      <c r="C10" s="8"/>
      <c r="D10" s="9"/>
      <c r="E10" s="8"/>
      <c r="F10" s="9"/>
      <c r="G10" s="9"/>
      <c r="H10" s="9"/>
      <c r="I10" s="9"/>
      <c r="J10" s="9"/>
      <c r="K10" s="10" t="s">
        <v>8</v>
      </c>
      <c r="L10" s="11">
        <f>M154</f>
        <v>0</v>
      </c>
      <c r="M10" s="8" t="s">
        <v>9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ht="15" customHeight="1" x14ac:dyDescent="0.25">
      <c r="A11" s="6"/>
      <c r="B11" s="8"/>
      <c r="C11" s="8"/>
      <c r="D11" s="9"/>
      <c r="E11" s="8"/>
      <c r="F11" s="9"/>
      <c r="G11" s="9"/>
      <c r="H11" s="9"/>
      <c r="I11" s="9"/>
      <c r="J11" s="9"/>
      <c r="K11" s="10" t="s">
        <v>10</v>
      </c>
      <c r="L11" s="13">
        <f>H146</f>
        <v>0</v>
      </c>
      <c r="M11" s="8" t="s">
        <v>9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6.5" customHeight="1" x14ac:dyDescent="0.3">
      <c r="A12" s="14"/>
      <c r="B12" s="15"/>
      <c r="C12" s="16"/>
      <c r="D12" s="17"/>
      <c r="E12" s="18" t="s">
        <v>11</v>
      </c>
      <c r="F12" s="19"/>
      <c r="G12" s="20" t="s">
        <v>12</v>
      </c>
      <c r="H12" s="21"/>
      <c r="I12" s="22" t="s">
        <v>13</v>
      </c>
      <c r="J12" s="21"/>
      <c r="K12" s="23" t="s">
        <v>14</v>
      </c>
      <c r="L12" s="21"/>
      <c r="M12" s="1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16.5" customHeight="1" x14ac:dyDescent="0.3">
      <c r="A13" s="24" t="s">
        <v>15</v>
      </c>
      <c r="B13" s="25" t="s">
        <v>16</v>
      </c>
      <c r="C13" s="5" t="s">
        <v>17</v>
      </c>
      <c r="D13" s="25" t="s">
        <v>18</v>
      </c>
      <c r="E13" s="25" t="s">
        <v>19</v>
      </c>
      <c r="F13" s="8" t="s">
        <v>20</v>
      </c>
      <c r="G13" s="25" t="s">
        <v>21</v>
      </c>
      <c r="H13" s="8" t="s">
        <v>20</v>
      </c>
      <c r="I13" s="25" t="s">
        <v>21</v>
      </c>
      <c r="J13" s="8" t="s">
        <v>20</v>
      </c>
      <c r="K13" s="25" t="s">
        <v>21</v>
      </c>
      <c r="L13" s="8" t="s">
        <v>20</v>
      </c>
      <c r="M13" s="25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16.5" customHeight="1" x14ac:dyDescent="0.3">
      <c r="A14" s="26"/>
      <c r="B14" s="27"/>
      <c r="C14" s="28"/>
      <c r="D14" s="29"/>
      <c r="E14" s="27"/>
      <c r="F14" s="28"/>
      <c r="G14" s="27" t="s">
        <v>22</v>
      </c>
      <c r="H14" s="28"/>
      <c r="I14" s="27" t="s">
        <v>22</v>
      </c>
      <c r="J14" s="28"/>
      <c r="K14" s="27" t="s">
        <v>22</v>
      </c>
      <c r="L14" s="28"/>
      <c r="M14" s="2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16.5" customHeight="1" x14ac:dyDescent="0.3">
      <c r="A15" s="30" t="s">
        <v>23</v>
      </c>
      <c r="B15" s="31" t="s">
        <v>24</v>
      </c>
      <c r="C15" s="18" t="s">
        <v>25</v>
      </c>
      <c r="D15" s="30" t="s">
        <v>26</v>
      </c>
      <c r="E15" s="31" t="s">
        <v>27</v>
      </c>
      <c r="F15" s="19" t="s">
        <v>28</v>
      </c>
      <c r="G15" s="18" t="s">
        <v>29</v>
      </c>
      <c r="H15" s="30" t="s">
        <v>30</v>
      </c>
      <c r="I15" s="31" t="s">
        <v>31</v>
      </c>
      <c r="J15" s="18" t="s">
        <v>32</v>
      </c>
      <c r="K15" s="31" t="s">
        <v>33</v>
      </c>
      <c r="L15" s="30" t="s">
        <v>34</v>
      </c>
      <c r="M15" s="31" t="s">
        <v>35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32.25" customHeight="1" x14ac:dyDescent="0.25">
      <c r="A16" s="32">
        <v>1</v>
      </c>
      <c r="B16" s="33" t="s">
        <v>36</v>
      </c>
      <c r="C16" s="34" t="s">
        <v>37</v>
      </c>
      <c r="D16" s="35" t="s">
        <v>38</v>
      </c>
      <c r="E16" s="36"/>
      <c r="F16" s="37">
        <v>29.43</v>
      </c>
      <c r="G16" s="38"/>
      <c r="H16" s="35"/>
      <c r="I16" s="38"/>
      <c r="J16" s="35"/>
      <c r="K16" s="38"/>
      <c r="L16" s="35"/>
      <c r="M16" s="38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</row>
    <row r="17" spans="1:34" ht="34.5" customHeight="1" x14ac:dyDescent="0.25">
      <c r="A17" s="39"/>
      <c r="B17" s="39"/>
      <c r="C17" s="39" t="s">
        <v>39</v>
      </c>
      <c r="D17" s="40" t="s">
        <v>40</v>
      </c>
      <c r="E17" s="41">
        <f>(2.581)/0.6005*0.8</f>
        <v>3.4384679433805161</v>
      </c>
      <c r="F17" s="42">
        <f>F16*E17</f>
        <v>101.19411157368859</v>
      </c>
      <c r="G17" s="43">
        <v>0</v>
      </c>
      <c r="H17" s="42">
        <f>F17*G17</f>
        <v>0</v>
      </c>
      <c r="I17" s="44"/>
      <c r="J17" s="42"/>
      <c r="K17" s="44"/>
      <c r="L17" s="42"/>
      <c r="M17" s="44">
        <f>H17</f>
        <v>0</v>
      </c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</row>
    <row r="18" spans="1:34" ht="51.75" customHeight="1" x14ac:dyDescent="0.25">
      <c r="A18" s="34">
        <v>2</v>
      </c>
      <c r="B18" s="33" t="s">
        <v>41</v>
      </c>
      <c r="C18" s="46" t="s">
        <v>42</v>
      </c>
      <c r="D18" s="46" t="s">
        <v>43</v>
      </c>
      <c r="E18" s="46"/>
      <c r="F18" s="47">
        <f>5.6*11</f>
        <v>61.599999999999994</v>
      </c>
      <c r="G18" s="48"/>
      <c r="H18" s="49"/>
      <c r="I18" s="48"/>
      <c r="J18" s="49"/>
      <c r="K18" s="48"/>
      <c r="L18" s="49"/>
      <c r="M18" s="48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</row>
    <row r="19" spans="1:34" ht="16.5" customHeight="1" x14ac:dyDescent="0.25">
      <c r="A19" s="51"/>
      <c r="B19" s="12"/>
      <c r="C19" s="51" t="s">
        <v>44</v>
      </c>
      <c r="D19" s="51" t="s">
        <v>40</v>
      </c>
      <c r="E19" s="52">
        <f>(1.29)/0.438</f>
        <v>2.945205479452055</v>
      </c>
      <c r="F19" s="53">
        <f>F18*E19</f>
        <v>181.42465753424656</v>
      </c>
      <c r="G19" s="54">
        <v>0</v>
      </c>
      <c r="H19" s="53">
        <f>F19*G19</f>
        <v>0</v>
      </c>
      <c r="I19" s="54"/>
      <c r="J19" s="53"/>
      <c r="K19" s="54"/>
      <c r="L19" s="53"/>
      <c r="M19" s="54">
        <f t="shared" ref="M19:M25" si="0">H19+J19+L19</f>
        <v>0</v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</row>
    <row r="20" spans="1:34" ht="16.5" customHeight="1" x14ac:dyDescent="0.25">
      <c r="A20" s="55"/>
      <c r="B20" s="56" t="s">
        <v>45</v>
      </c>
      <c r="C20" s="55" t="s">
        <v>46</v>
      </c>
      <c r="D20" s="55" t="s">
        <v>47</v>
      </c>
      <c r="E20" s="57" t="s">
        <v>48</v>
      </c>
      <c r="F20" s="58">
        <f>(1.17+0.26)*1.15</f>
        <v>1.6444999999999999</v>
      </c>
      <c r="G20" s="54"/>
      <c r="H20" s="53"/>
      <c r="I20" s="54">
        <v>0</v>
      </c>
      <c r="J20" s="53">
        <f t="shared" ref="J20:J25" si="1">F20*I20</f>
        <v>0</v>
      </c>
      <c r="K20" s="54"/>
      <c r="L20" s="53"/>
      <c r="M20" s="54">
        <f t="shared" si="0"/>
        <v>0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  <row r="21" spans="1:34" ht="16.5" customHeight="1" x14ac:dyDescent="0.25">
      <c r="A21" s="55"/>
      <c r="B21" s="55" t="s">
        <v>49</v>
      </c>
      <c r="C21" s="55" t="s">
        <v>50</v>
      </c>
      <c r="D21" s="55" t="s">
        <v>51</v>
      </c>
      <c r="E21" s="59" t="s">
        <v>48</v>
      </c>
      <c r="F21" s="60">
        <v>6</v>
      </c>
      <c r="G21" s="60"/>
      <c r="H21" s="60"/>
      <c r="I21" s="60">
        <v>0</v>
      </c>
      <c r="J21" s="60">
        <f t="shared" si="1"/>
        <v>0</v>
      </c>
      <c r="K21" s="60"/>
      <c r="L21" s="60"/>
      <c r="M21" s="54">
        <f t="shared" si="0"/>
        <v>0</v>
      </c>
      <c r="N21" s="55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 spans="1:34" ht="16.5" customHeight="1" x14ac:dyDescent="0.25">
      <c r="A22" s="55"/>
      <c r="B22" s="55" t="s">
        <v>52</v>
      </c>
      <c r="C22" s="55" t="s">
        <v>53</v>
      </c>
      <c r="D22" s="55" t="s">
        <v>54</v>
      </c>
      <c r="E22" s="55">
        <v>3.4000000000000002E-2</v>
      </c>
      <c r="F22" s="60">
        <f>F18*E22</f>
        <v>2.0943999999999998</v>
      </c>
      <c r="G22" s="60"/>
      <c r="H22" s="60"/>
      <c r="I22" s="60">
        <v>0</v>
      </c>
      <c r="J22" s="60">
        <f t="shared" si="1"/>
        <v>0</v>
      </c>
      <c r="K22" s="60"/>
      <c r="L22" s="60"/>
      <c r="M22" s="54">
        <f t="shared" si="0"/>
        <v>0</v>
      </c>
      <c r="N22" s="55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 ht="16.5" customHeight="1" x14ac:dyDescent="0.25">
      <c r="A23" s="55"/>
      <c r="B23" s="55"/>
      <c r="C23" s="55" t="s">
        <v>55</v>
      </c>
      <c r="D23" s="55" t="s">
        <v>38</v>
      </c>
      <c r="E23" s="51">
        <v>0.04</v>
      </c>
      <c r="F23" s="53">
        <f>F18*E23</f>
        <v>2.464</v>
      </c>
      <c r="G23" s="54"/>
      <c r="H23" s="53"/>
      <c r="I23" s="60">
        <v>0</v>
      </c>
      <c r="J23" s="53">
        <f t="shared" si="1"/>
        <v>0</v>
      </c>
      <c r="K23" s="54"/>
      <c r="L23" s="53"/>
      <c r="M23" s="54">
        <f t="shared" si="0"/>
        <v>0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</row>
    <row r="24" spans="1:34" ht="16.5" customHeight="1" x14ac:dyDescent="0.25">
      <c r="A24" s="55"/>
      <c r="B24" s="55" t="s">
        <v>56</v>
      </c>
      <c r="C24" s="55" t="s">
        <v>57</v>
      </c>
      <c r="D24" s="55" t="s">
        <v>38</v>
      </c>
      <c r="E24" s="51">
        <v>0.16</v>
      </c>
      <c r="F24" s="53">
        <f>F18*E24</f>
        <v>9.8559999999999999</v>
      </c>
      <c r="G24" s="54"/>
      <c r="H24" s="53"/>
      <c r="I24" s="60">
        <v>0</v>
      </c>
      <c r="J24" s="53">
        <f t="shared" si="1"/>
        <v>0</v>
      </c>
      <c r="K24" s="54"/>
      <c r="L24" s="53"/>
      <c r="M24" s="54">
        <f t="shared" si="0"/>
        <v>0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</row>
    <row r="25" spans="1:34" ht="16.5" customHeight="1" x14ac:dyDescent="0.25">
      <c r="A25" s="61"/>
      <c r="B25" s="61"/>
      <c r="C25" s="61" t="s">
        <v>58</v>
      </c>
      <c r="D25" s="61" t="s">
        <v>54</v>
      </c>
      <c r="E25" s="62">
        <v>0.1</v>
      </c>
      <c r="F25" s="63">
        <f>F18*E25</f>
        <v>6.16</v>
      </c>
      <c r="G25" s="62"/>
      <c r="H25" s="63"/>
      <c r="I25" s="60">
        <v>0</v>
      </c>
      <c r="J25" s="63">
        <f t="shared" si="1"/>
        <v>0</v>
      </c>
      <c r="K25" s="62"/>
      <c r="L25" s="63"/>
      <c r="M25" s="62">
        <f t="shared" si="0"/>
        <v>0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</row>
    <row r="26" spans="1:34" ht="33.75" customHeight="1" x14ac:dyDescent="0.25">
      <c r="A26" s="34">
        <v>3</v>
      </c>
      <c r="B26" s="33" t="s">
        <v>41</v>
      </c>
      <c r="C26" s="46" t="s">
        <v>59</v>
      </c>
      <c r="D26" s="46" t="s">
        <v>43</v>
      </c>
      <c r="E26" s="46"/>
      <c r="F26" s="47">
        <f>5.4*3</f>
        <v>16.200000000000003</v>
      </c>
      <c r="G26" s="48"/>
      <c r="H26" s="49"/>
      <c r="I26" s="48"/>
      <c r="J26" s="49"/>
      <c r="K26" s="48"/>
      <c r="L26" s="49"/>
      <c r="M26" s="54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</row>
    <row r="27" spans="1:34" ht="16.5" customHeight="1" x14ac:dyDescent="0.25">
      <c r="A27" s="51"/>
      <c r="B27" s="12"/>
      <c r="C27" s="51" t="s">
        <v>44</v>
      </c>
      <c r="D27" s="51" t="s">
        <v>40</v>
      </c>
      <c r="E27" s="52">
        <f>(1.29)/0.438</f>
        <v>2.945205479452055</v>
      </c>
      <c r="F27" s="53">
        <f>F26*E27</f>
        <v>47.712328767123303</v>
      </c>
      <c r="G27" s="54">
        <v>0</v>
      </c>
      <c r="H27" s="53">
        <f>F27*G27</f>
        <v>0</v>
      </c>
      <c r="I27" s="54"/>
      <c r="J27" s="53"/>
      <c r="K27" s="54"/>
      <c r="L27" s="53"/>
      <c r="M27" s="54">
        <f t="shared" ref="M27:M32" si="2">H27+J27+L27</f>
        <v>0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</row>
    <row r="28" spans="1:34" ht="16.5" customHeight="1" x14ac:dyDescent="0.25">
      <c r="A28" s="55"/>
      <c r="B28" s="56" t="s">
        <v>45</v>
      </c>
      <c r="C28" s="55" t="s">
        <v>46</v>
      </c>
      <c r="D28" s="55" t="s">
        <v>47</v>
      </c>
      <c r="E28" s="57" t="s">
        <v>48</v>
      </c>
      <c r="F28" s="58">
        <v>0.37</v>
      </c>
      <c r="G28" s="54"/>
      <c r="H28" s="53"/>
      <c r="I28" s="60">
        <v>0</v>
      </c>
      <c r="J28" s="53">
        <f t="shared" ref="J28:J32" si="3">F28*I28</f>
        <v>0</v>
      </c>
      <c r="K28" s="54"/>
      <c r="L28" s="53"/>
      <c r="M28" s="54">
        <f t="shared" si="2"/>
        <v>0</v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</row>
    <row r="29" spans="1:34" ht="16.5" customHeight="1" x14ac:dyDescent="0.25">
      <c r="A29" s="55"/>
      <c r="B29" s="55" t="s">
        <v>52</v>
      </c>
      <c r="C29" s="55" t="s">
        <v>53</v>
      </c>
      <c r="D29" s="55" t="s">
        <v>54</v>
      </c>
      <c r="E29" s="51">
        <v>3.4000000000000002E-2</v>
      </c>
      <c r="F29" s="53">
        <f>F26*E29</f>
        <v>0.55080000000000018</v>
      </c>
      <c r="G29" s="54"/>
      <c r="H29" s="53"/>
      <c r="I29" s="60">
        <v>0</v>
      </c>
      <c r="J29" s="53">
        <f t="shared" si="3"/>
        <v>0</v>
      </c>
      <c r="K29" s="54"/>
      <c r="L29" s="53"/>
      <c r="M29" s="54">
        <f t="shared" si="2"/>
        <v>0</v>
      </c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</row>
    <row r="30" spans="1:34" ht="16.5" customHeight="1" x14ac:dyDescent="0.25">
      <c r="A30" s="55"/>
      <c r="B30" s="55"/>
      <c r="C30" s="55" t="s">
        <v>55</v>
      </c>
      <c r="D30" s="55" t="s">
        <v>38</v>
      </c>
      <c r="E30" s="51">
        <v>0.04</v>
      </c>
      <c r="F30" s="53">
        <f>F26*E30</f>
        <v>0.64800000000000013</v>
      </c>
      <c r="G30" s="54"/>
      <c r="H30" s="53"/>
      <c r="I30" s="60">
        <v>0</v>
      </c>
      <c r="J30" s="53">
        <f t="shared" si="3"/>
        <v>0</v>
      </c>
      <c r="K30" s="54"/>
      <c r="L30" s="53"/>
      <c r="M30" s="54">
        <f t="shared" si="2"/>
        <v>0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</row>
    <row r="31" spans="1:34" ht="16.5" customHeight="1" x14ac:dyDescent="0.25">
      <c r="A31" s="55"/>
      <c r="B31" s="55" t="s">
        <v>56</v>
      </c>
      <c r="C31" s="55" t="s">
        <v>57</v>
      </c>
      <c r="D31" s="55" t="s">
        <v>38</v>
      </c>
      <c r="E31" s="51">
        <v>0.16</v>
      </c>
      <c r="F31" s="53">
        <f>F26*E31</f>
        <v>2.5920000000000005</v>
      </c>
      <c r="G31" s="54"/>
      <c r="H31" s="53"/>
      <c r="I31" s="60">
        <v>0</v>
      </c>
      <c r="J31" s="53">
        <f t="shared" si="3"/>
        <v>0</v>
      </c>
      <c r="K31" s="54"/>
      <c r="L31" s="53"/>
      <c r="M31" s="54">
        <f t="shared" si="2"/>
        <v>0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</row>
    <row r="32" spans="1:34" ht="14.25" customHeight="1" x14ac:dyDescent="0.25">
      <c r="A32" s="61"/>
      <c r="B32" s="61"/>
      <c r="C32" s="61" t="s">
        <v>58</v>
      </c>
      <c r="D32" s="61" t="s">
        <v>54</v>
      </c>
      <c r="E32" s="62">
        <v>0.1</v>
      </c>
      <c r="F32" s="63">
        <f>F26*E32</f>
        <v>1.6200000000000003</v>
      </c>
      <c r="G32" s="62"/>
      <c r="H32" s="63"/>
      <c r="I32" s="60">
        <v>0</v>
      </c>
      <c r="J32" s="63">
        <f t="shared" si="3"/>
        <v>0</v>
      </c>
      <c r="K32" s="62"/>
      <c r="L32" s="63"/>
      <c r="M32" s="54">
        <f t="shared" si="2"/>
        <v>0</v>
      </c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</row>
    <row r="33" spans="1:34" ht="26.25" customHeight="1" x14ac:dyDescent="0.25">
      <c r="A33" s="64">
        <v>4</v>
      </c>
      <c r="B33" s="65" t="s">
        <v>60</v>
      </c>
      <c r="C33" s="34" t="s">
        <v>162</v>
      </c>
      <c r="D33" s="38" t="s">
        <v>38</v>
      </c>
      <c r="E33" s="66"/>
      <c r="F33" s="49">
        <f>65/2</f>
        <v>32.5</v>
      </c>
      <c r="G33" s="34"/>
      <c r="H33" s="50"/>
      <c r="I33" s="34"/>
      <c r="J33" s="50"/>
      <c r="K33" s="48"/>
      <c r="L33" s="50"/>
      <c r="M33" s="54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</row>
    <row r="34" spans="1:34" ht="17.25" customHeight="1" x14ac:dyDescent="0.25">
      <c r="A34" s="67"/>
      <c r="B34" s="67"/>
      <c r="C34" s="67" t="s">
        <v>61</v>
      </c>
      <c r="D34" s="68" t="s">
        <v>62</v>
      </c>
      <c r="E34" s="69">
        <f>32.8/100</f>
        <v>0.32799999999999996</v>
      </c>
      <c r="F34" s="70">
        <f>F33*E34</f>
        <v>10.659999999999998</v>
      </c>
      <c r="G34" s="54">
        <v>0</v>
      </c>
      <c r="H34" s="72">
        <f>F34*G34</f>
        <v>0</v>
      </c>
      <c r="I34" s="71"/>
      <c r="J34" s="72"/>
      <c r="K34" s="71"/>
      <c r="L34" s="72"/>
      <c r="M34" s="54">
        <f t="shared" ref="M34:M39" si="4">H34+J34+L34</f>
        <v>0</v>
      </c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</row>
    <row r="35" spans="1:34" ht="17.25" customHeight="1" x14ac:dyDescent="0.25">
      <c r="A35" s="67"/>
      <c r="B35" s="45"/>
      <c r="C35" s="73" t="s">
        <v>63</v>
      </c>
      <c r="D35" s="68" t="s">
        <v>64</v>
      </c>
      <c r="E35" s="74">
        <f>2.63/100</f>
        <v>2.63E-2</v>
      </c>
      <c r="F35" s="70">
        <f>F33*E35</f>
        <v>0.85475000000000001</v>
      </c>
      <c r="G35" s="67"/>
      <c r="H35" s="72"/>
      <c r="I35" s="71"/>
      <c r="J35" s="72"/>
      <c r="K35" s="71">
        <v>0</v>
      </c>
      <c r="L35" s="72">
        <f>F35*K35</f>
        <v>0</v>
      </c>
      <c r="M35" s="54">
        <f t="shared" si="4"/>
        <v>0</v>
      </c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</row>
    <row r="36" spans="1:34" ht="17.25" customHeight="1" x14ac:dyDescent="0.25">
      <c r="A36" s="67"/>
      <c r="B36" s="45" t="s">
        <v>65</v>
      </c>
      <c r="C36" s="68" t="s">
        <v>66</v>
      </c>
      <c r="D36" s="67" t="s">
        <v>38</v>
      </c>
      <c r="E36" s="69">
        <v>1.1499999999999999</v>
      </c>
      <c r="F36" s="70">
        <f>F33*E36</f>
        <v>37.375</v>
      </c>
      <c r="G36" s="67"/>
      <c r="H36" s="72"/>
      <c r="I36" s="60">
        <v>0</v>
      </c>
      <c r="J36" s="72">
        <f t="shared" ref="J36:J39" si="5">F36*I36</f>
        <v>0</v>
      </c>
      <c r="K36" s="71"/>
      <c r="L36" s="72"/>
      <c r="M36" s="54">
        <f t="shared" si="4"/>
        <v>0</v>
      </c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</row>
    <row r="37" spans="1:34" ht="17.25" customHeight="1" x14ac:dyDescent="0.25">
      <c r="A37" s="67"/>
      <c r="B37" s="45" t="s">
        <v>67</v>
      </c>
      <c r="C37" s="68" t="s">
        <v>68</v>
      </c>
      <c r="D37" s="67" t="s">
        <v>38</v>
      </c>
      <c r="E37" s="69">
        <v>1.23</v>
      </c>
      <c r="F37" s="70">
        <f>F33*E37</f>
        <v>39.975000000000001</v>
      </c>
      <c r="G37" s="67"/>
      <c r="H37" s="72"/>
      <c r="I37" s="60">
        <v>0</v>
      </c>
      <c r="J37" s="72">
        <f t="shared" si="5"/>
        <v>0</v>
      </c>
      <c r="K37" s="71"/>
      <c r="L37" s="72"/>
      <c r="M37" s="54">
        <f t="shared" si="4"/>
        <v>0</v>
      </c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</row>
    <row r="38" spans="1:34" ht="17.25" customHeight="1" x14ac:dyDescent="0.25">
      <c r="A38" s="67"/>
      <c r="B38" s="45" t="s">
        <v>69</v>
      </c>
      <c r="C38" s="67" t="s">
        <v>70</v>
      </c>
      <c r="D38" s="45" t="s">
        <v>54</v>
      </c>
      <c r="E38" s="69">
        <f>40/100</f>
        <v>0.4</v>
      </c>
      <c r="F38" s="70">
        <f>F33*E38</f>
        <v>13</v>
      </c>
      <c r="G38" s="67"/>
      <c r="H38" s="72"/>
      <c r="I38" s="60">
        <v>0</v>
      </c>
      <c r="J38" s="72">
        <f t="shared" si="5"/>
        <v>0</v>
      </c>
      <c r="K38" s="71"/>
      <c r="L38" s="72"/>
      <c r="M38" s="54">
        <f t="shared" si="4"/>
        <v>0</v>
      </c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</row>
    <row r="39" spans="1:34" ht="17.25" customHeight="1" x14ac:dyDescent="0.25">
      <c r="A39" s="39"/>
      <c r="B39" s="40"/>
      <c r="C39" s="39" t="s">
        <v>71</v>
      </c>
      <c r="D39" s="75" t="s">
        <v>64</v>
      </c>
      <c r="E39" s="76">
        <f>6.4/100</f>
        <v>6.4000000000000001E-2</v>
      </c>
      <c r="F39" s="77">
        <f>F33*E39</f>
        <v>2.08</v>
      </c>
      <c r="G39" s="39"/>
      <c r="H39" s="42"/>
      <c r="I39" s="60">
        <v>0</v>
      </c>
      <c r="J39" s="42">
        <f t="shared" si="5"/>
        <v>0</v>
      </c>
      <c r="K39" s="44"/>
      <c r="L39" s="42"/>
      <c r="M39" s="62">
        <f t="shared" si="4"/>
        <v>0</v>
      </c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</row>
    <row r="40" spans="1:34" ht="32.25" customHeight="1" x14ac:dyDescent="0.25">
      <c r="A40" s="32">
        <v>5</v>
      </c>
      <c r="B40" s="33" t="s">
        <v>36</v>
      </c>
      <c r="C40" s="34" t="s">
        <v>72</v>
      </c>
      <c r="D40" s="35" t="s">
        <v>38</v>
      </c>
      <c r="E40" s="36"/>
      <c r="F40" s="37">
        <v>37</v>
      </c>
      <c r="G40" s="38"/>
      <c r="H40" s="35"/>
      <c r="I40" s="38"/>
      <c r="J40" s="35"/>
      <c r="K40" s="38"/>
      <c r="L40" s="35"/>
      <c r="M40" s="54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</row>
    <row r="41" spans="1:34" ht="18" customHeight="1" x14ac:dyDescent="0.25">
      <c r="A41" s="67"/>
      <c r="B41" s="67"/>
      <c r="C41" s="67" t="s">
        <v>44</v>
      </c>
      <c r="D41" s="45" t="s">
        <v>40</v>
      </c>
      <c r="E41" s="52">
        <f>(2.581)/0.438</f>
        <v>5.8926940639269407</v>
      </c>
      <c r="F41" s="72">
        <f>F40*E41</f>
        <v>218.0296803652968</v>
      </c>
      <c r="G41" s="54">
        <v>0</v>
      </c>
      <c r="H41" s="72">
        <f>F41*G41</f>
        <v>0</v>
      </c>
      <c r="I41" s="71"/>
      <c r="J41" s="72"/>
      <c r="K41" s="71"/>
      <c r="L41" s="72"/>
      <c r="M41" s="54">
        <f t="shared" ref="M41:M43" si="6">H41+J41+L41</f>
        <v>0</v>
      </c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</row>
    <row r="42" spans="1:34" ht="18" customHeight="1" x14ac:dyDescent="0.25">
      <c r="A42" s="67"/>
      <c r="B42" s="78" t="s">
        <v>73</v>
      </c>
      <c r="C42" s="67" t="s">
        <v>74</v>
      </c>
      <c r="D42" s="45" t="s">
        <v>38</v>
      </c>
      <c r="E42" s="79" t="s">
        <v>48</v>
      </c>
      <c r="F42" s="72">
        <v>50</v>
      </c>
      <c r="G42" s="67"/>
      <c r="H42" s="72"/>
      <c r="I42" s="60">
        <v>0</v>
      </c>
      <c r="J42" s="72">
        <f t="shared" ref="J42:J43" si="7">F42*I42</f>
        <v>0</v>
      </c>
      <c r="K42" s="71"/>
      <c r="L42" s="72"/>
      <c r="M42" s="54">
        <f t="shared" si="6"/>
        <v>0</v>
      </c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</row>
    <row r="43" spans="1:34" ht="16.5" customHeight="1" x14ac:dyDescent="0.25">
      <c r="A43" s="61"/>
      <c r="B43" s="80" t="s">
        <v>75</v>
      </c>
      <c r="C43" s="61" t="s">
        <v>76</v>
      </c>
      <c r="D43" s="61" t="s">
        <v>51</v>
      </c>
      <c r="E43" s="81" t="s">
        <v>48</v>
      </c>
      <c r="F43" s="82">
        <v>160</v>
      </c>
      <c r="G43" s="82"/>
      <c r="H43" s="82"/>
      <c r="I43" s="60">
        <v>0</v>
      </c>
      <c r="J43" s="82">
        <f t="shared" si="7"/>
        <v>0</v>
      </c>
      <c r="K43" s="82"/>
      <c r="L43" s="82"/>
      <c r="M43" s="62">
        <f t="shared" si="6"/>
        <v>0</v>
      </c>
      <c r="N43" s="55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</row>
    <row r="44" spans="1:34" ht="32.25" customHeight="1" x14ac:dyDescent="0.25">
      <c r="A44" s="32">
        <v>6</v>
      </c>
      <c r="B44" s="33" t="s">
        <v>36</v>
      </c>
      <c r="C44" s="34" t="s">
        <v>77</v>
      </c>
      <c r="D44" s="35" t="s">
        <v>38</v>
      </c>
      <c r="E44" s="36"/>
      <c r="F44" s="37">
        <v>37.21</v>
      </c>
      <c r="G44" s="38"/>
      <c r="H44" s="35"/>
      <c r="I44" s="38"/>
      <c r="J44" s="35"/>
      <c r="K44" s="38"/>
      <c r="L44" s="35"/>
      <c r="M44" s="54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</row>
    <row r="45" spans="1:34" ht="18" customHeight="1" x14ac:dyDescent="0.25">
      <c r="A45" s="67"/>
      <c r="B45" s="67"/>
      <c r="C45" s="67" t="s">
        <v>44</v>
      </c>
      <c r="D45" s="45" t="s">
        <v>40</v>
      </c>
      <c r="E45" s="52">
        <f>(2.581)/0.438</f>
        <v>5.8926940639269407</v>
      </c>
      <c r="F45" s="72">
        <f>F44*E45</f>
        <v>219.26714611872146</v>
      </c>
      <c r="G45" s="54">
        <v>0</v>
      </c>
      <c r="H45" s="72">
        <f>F45*G45</f>
        <v>0</v>
      </c>
      <c r="I45" s="71"/>
      <c r="J45" s="72"/>
      <c r="K45" s="71"/>
      <c r="L45" s="72"/>
      <c r="M45" s="54">
        <f t="shared" ref="M45:M47" si="8">H45+J45+L45</f>
        <v>0</v>
      </c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</row>
    <row r="46" spans="1:34" ht="18" customHeight="1" x14ac:dyDescent="0.25">
      <c r="A46" s="67"/>
      <c r="B46" s="78" t="s">
        <v>73</v>
      </c>
      <c r="C46" s="67" t="s">
        <v>74</v>
      </c>
      <c r="D46" s="45" t="s">
        <v>38</v>
      </c>
      <c r="E46" s="79" t="s">
        <v>48</v>
      </c>
      <c r="F46" s="72">
        <v>50</v>
      </c>
      <c r="G46" s="67"/>
      <c r="H46" s="72"/>
      <c r="I46" s="60">
        <v>0</v>
      </c>
      <c r="J46" s="72">
        <f t="shared" ref="J46:J47" si="9">F46*I46</f>
        <v>0</v>
      </c>
      <c r="K46" s="71"/>
      <c r="L46" s="72"/>
      <c r="M46" s="54">
        <f t="shared" si="8"/>
        <v>0</v>
      </c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</row>
    <row r="47" spans="1:34" ht="16.5" customHeight="1" x14ac:dyDescent="0.25">
      <c r="A47" s="61"/>
      <c r="B47" s="80" t="s">
        <v>75</v>
      </c>
      <c r="C47" s="61" t="s">
        <v>76</v>
      </c>
      <c r="D47" s="61" t="s">
        <v>51</v>
      </c>
      <c r="E47" s="81" t="s">
        <v>48</v>
      </c>
      <c r="F47" s="82">
        <v>160</v>
      </c>
      <c r="G47" s="82"/>
      <c r="H47" s="82"/>
      <c r="I47" s="60">
        <v>0</v>
      </c>
      <c r="J47" s="82">
        <f t="shared" si="9"/>
        <v>0</v>
      </c>
      <c r="K47" s="82"/>
      <c r="L47" s="82"/>
      <c r="M47" s="62">
        <f t="shared" si="8"/>
        <v>0</v>
      </c>
      <c r="N47" s="55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</row>
    <row r="48" spans="1:34" ht="27" customHeight="1" x14ac:dyDescent="0.25">
      <c r="A48" s="34">
        <v>7</v>
      </c>
      <c r="B48" s="33" t="s">
        <v>78</v>
      </c>
      <c r="C48" s="34" t="s">
        <v>79</v>
      </c>
      <c r="D48" s="50" t="s">
        <v>47</v>
      </c>
      <c r="E48" s="66"/>
      <c r="F48" s="49">
        <v>3.5</v>
      </c>
      <c r="G48" s="34"/>
      <c r="H48" s="50"/>
      <c r="I48" s="48"/>
      <c r="J48" s="50"/>
      <c r="K48" s="34"/>
      <c r="L48" s="50"/>
      <c r="M48" s="54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</row>
    <row r="49" spans="1:34" ht="16.5" customHeight="1" x14ac:dyDescent="0.25">
      <c r="A49" s="51"/>
      <c r="B49" s="51"/>
      <c r="C49" s="51" t="s">
        <v>44</v>
      </c>
      <c r="D49" s="51" t="s">
        <v>40</v>
      </c>
      <c r="E49" s="83">
        <f>(4.31+15.23)/0.6005</f>
        <v>32.539550374687757</v>
      </c>
      <c r="F49" s="58">
        <f>F48*E49</f>
        <v>113.88842631140714</v>
      </c>
      <c r="G49" s="54">
        <v>0</v>
      </c>
      <c r="H49" s="53">
        <f>F49*G49</f>
        <v>0</v>
      </c>
      <c r="I49" s="54"/>
      <c r="J49" s="53"/>
      <c r="K49" s="54"/>
      <c r="L49" s="53"/>
      <c r="M49" s="54">
        <f t="shared" ref="M49:M54" si="10">H49+J49+L49</f>
        <v>0</v>
      </c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</row>
    <row r="50" spans="1:34" ht="16.5" customHeight="1" x14ac:dyDescent="0.25">
      <c r="A50" s="51"/>
      <c r="B50" s="12"/>
      <c r="C50" s="51" t="s">
        <v>80</v>
      </c>
      <c r="D50" s="12" t="s">
        <v>47</v>
      </c>
      <c r="E50" s="83">
        <v>1.2</v>
      </c>
      <c r="F50" s="58">
        <f>F48*E50</f>
        <v>4.2</v>
      </c>
      <c r="G50" s="51"/>
      <c r="H50" s="53"/>
      <c r="I50" s="54"/>
      <c r="J50" s="53"/>
      <c r="K50" s="54"/>
      <c r="L50" s="53"/>
      <c r="M50" s="54">
        <f t="shared" si="10"/>
        <v>0</v>
      </c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</row>
    <row r="51" spans="1:34" ht="16.5" customHeight="1" x14ac:dyDescent="0.25">
      <c r="A51" s="51"/>
      <c r="B51" s="12"/>
      <c r="C51" s="51" t="s">
        <v>81</v>
      </c>
      <c r="D51" s="12" t="s">
        <v>82</v>
      </c>
      <c r="E51" s="83">
        <v>3.2000000000000001E-2</v>
      </c>
      <c r="F51" s="58">
        <f>F48*E51</f>
        <v>0.112</v>
      </c>
      <c r="G51" s="51"/>
      <c r="H51" s="53"/>
      <c r="I51" s="60">
        <v>0</v>
      </c>
      <c r="J51" s="53">
        <f t="shared" ref="J51:J54" si="11">F51*I51</f>
        <v>0</v>
      </c>
      <c r="K51" s="54"/>
      <c r="L51" s="53"/>
      <c r="M51" s="54">
        <f t="shared" si="10"/>
        <v>0</v>
      </c>
      <c r="N51" s="84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</row>
    <row r="52" spans="1:34" ht="16.5" customHeight="1" x14ac:dyDescent="0.25">
      <c r="A52" s="51"/>
      <c r="B52" s="12" t="s">
        <v>83</v>
      </c>
      <c r="C52" s="51" t="s">
        <v>84</v>
      </c>
      <c r="D52" s="12" t="s">
        <v>82</v>
      </c>
      <c r="E52" s="83">
        <v>0.06</v>
      </c>
      <c r="F52" s="58">
        <f>F48*E52</f>
        <v>0.21</v>
      </c>
      <c r="G52" s="51"/>
      <c r="H52" s="53"/>
      <c r="I52" s="60">
        <v>0</v>
      </c>
      <c r="J52" s="53">
        <f t="shared" si="11"/>
        <v>0</v>
      </c>
      <c r="K52" s="54"/>
      <c r="L52" s="53"/>
      <c r="M52" s="54">
        <f t="shared" si="10"/>
        <v>0</v>
      </c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</row>
    <row r="53" spans="1:34" ht="16.5" customHeight="1" x14ac:dyDescent="0.25">
      <c r="A53" s="51"/>
      <c r="B53" s="12" t="s">
        <v>85</v>
      </c>
      <c r="C53" s="51" t="s">
        <v>86</v>
      </c>
      <c r="D53" s="12" t="s">
        <v>47</v>
      </c>
      <c r="E53" s="83">
        <v>0.19</v>
      </c>
      <c r="F53" s="58">
        <f>F48*E53</f>
        <v>0.66500000000000004</v>
      </c>
      <c r="G53" s="51"/>
      <c r="H53" s="53"/>
      <c r="I53" s="60">
        <v>0</v>
      </c>
      <c r="J53" s="53">
        <f t="shared" si="11"/>
        <v>0</v>
      </c>
      <c r="K53" s="54"/>
      <c r="L53" s="53"/>
      <c r="M53" s="54">
        <f t="shared" si="10"/>
        <v>0</v>
      </c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</row>
    <row r="54" spans="1:34" ht="16.5" customHeight="1" x14ac:dyDescent="0.25">
      <c r="A54" s="80"/>
      <c r="B54" s="85" t="s">
        <v>87</v>
      </c>
      <c r="C54" s="80" t="s">
        <v>88</v>
      </c>
      <c r="D54" s="85" t="s">
        <v>47</v>
      </c>
      <c r="E54" s="86">
        <v>0.47</v>
      </c>
      <c r="F54" s="87">
        <f>F48*E54</f>
        <v>1.645</v>
      </c>
      <c r="G54" s="80"/>
      <c r="H54" s="63"/>
      <c r="I54" s="60">
        <v>0</v>
      </c>
      <c r="J54" s="63">
        <f t="shared" si="11"/>
        <v>0</v>
      </c>
      <c r="K54" s="62"/>
      <c r="L54" s="63"/>
      <c r="M54" s="62">
        <f t="shared" si="10"/>
        <v>0</v>
      </c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</row>
    <row r="55" spans="1:34" ht="33.75" customHeight="1" x14ac:dyDescent="0.25">
      <c r="A55" s="34">
        <v>8</v>
      </c>
      <c r="B55" s="33" t="s">
        <v>89</v>
      </c>
      <c r="C55" s="34" t="s">
        <v>90</v>
      </c>
      <c r="D55" s="50" t="s">
        <v>47</v>
      </c>
      <c r="E55" s="66"/>
      <c r="F55" s="49">
        <v>5.7</v>
      </c>
      <c r="G55" s="34"/>
      <c r="H55" s="50"/>
      <c r="I55" s="48"/>
      <c r="J55" s="50"/>
      <c r="K55" s="34"/>
      <c r="L55" s="50"/>
      <c r="M55" s="54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</row>
    <row r="56" spans="1:34" ht="16.5" customHeight="1" x14ac:dyDescent="0.25">
      <c r="A56" s="51"/>
      <c r="B56" s="51"/>
      <c r="C56" s="51" t="s">
        <v>44</v>
      </c>
      <c r="D56" s="51" t="s">
        <v>40</v>
      </c>
      <c r="E56" s="83">
        <f>(15.23)/0.6005</f>
        <v>25.362198168193171</v>
      </c>
      <c r="F56" s="58">
        <f>F55*E56</f>
        <v>144.56452955870108</v>
      </c>
      <c r="G56" s="54">
        <v>0</v>
      </c>
      <c r="H56" s="53">
        <f>F56*G56</f>
        <v>0</v>
      </c>
      <c r="I56" s="54"/>
      <c r="J56" s="53"/>
      <c r="K56" s="54"/>
      <c r="L56" s="53"/>
      <c r="M56" s="54">
        <f t="shared" ref="M56:M61" si="12">H56+J56+L56</f>
        <v>0</v>
      </c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</row>
    <row r="57" spans="1:34" ht="16.5" customHeight="1" x14ac:dyDescent="0.25">
      <c r="A57" s="51"/>
      <c r="B57" s="12"/>
      <c r="C57" s="51" t="s">
        <v>91</v>
      </c>
      <c r="D57" s="12" t="s">
        <v>47</v>
      </c>
      <c r="E57" s="83">
        <v>1.2</v>
      </c>
      <c r="F57" s="58">
        <f>F55*E57</f>
        <v>6.84</v>
      </c>
      <c r="G57" s="51"/>
      <c r="H57" s="53"/>
      <c r="I57" s="60">
        <v>0</v>
      </c>
      <c r="J57" s="53">
        <f t="shared" ref="J57:J61" si="13">F57*I57</f>
        <v>0</v>
      </c>
      <c r="K57" s="54"/>
      <c r="L57" s="53"/>
      <c r="M57" s="54">
        <f t="shared" si="12"/>
        <v>0</v>
      </c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</row>
    <row r="58" spans="1:34" ht="16.5" customHeight="1" x14ac:dyDescent="0.25">
      <c r="A58" s="51"/>
      <c r="B58" s="12"/>
      <c r="C58" s="51" t="s">
        <v>81</v>
      </c>
      <c r="D58" s="12" t="s">
        <v>82</v>
      </c>
      <c r="E58" s="83">
        <v>3.2000000000000001E-2</v>
      </c>
      <c r="F58" s="58">
        <f>F55*E58</f>
        <v>0.18240000000000001</v>
      </c>
      <c r="G58" s="51"/>
      <c r="H58" s="53"/>
      <c r="I58" s="60">
        <v>0</v>
      </c>
      <c r="J58" s="53">
        <f t="shared" si="13"/>
        <v>0</v>
      </c>
      <c r="K58" s="54"/>
      <c r="L58" s="53"/>
      <c r="M58" s="54">
        <f t="shared" si="12"/>
        <v>0</v>
      </c>
      <c r="N58" s="84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</row>
    <row r="59" spans="1:34" ht="16.5" customHeight="1" x14ac:dyDescent="0.25">
      <c r="A59" s="51"/>
      <c r="B59" s="12" t="s">
        <v>83</v>
      </c>
      <c r="C59" s="51" t="s">
        <v>84</v>
      </c>
      <c r="D59" s="12" t="s">
        <v>82</v>
      </c>
      <c r="E59" s="83">
        <v>0.06</v>
      </c>
      <c r="F59" s="58">
        <f>F55*E59</f>
        <v>0.34199999999999997</v>
      </c>
      <c r="G59" s="51"/>
      <c r="H59" s="53"/>
      <c r="I59" s="60">
        <v>0</v>
      </c>
      <c r="J59" s="53">
        <f t="shared" si="13"/>
        <v>0</v>
      </c>
      <c r="K59" s="54"/>
      <c r="L59" s="53"/>
      <c r="M59" s="54">
        <f t="shared" si="12"/>
        <v>0</v>
      </c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</row>
    <row r="60" spans="1:34" ht="16.5" customHeight="1" x14ac:dyDescent="0.25">
      <c r="A60" s="51"/>
      <c r="B60" s="12" t="s">
        <v>85</v>
      </c>
      <c r="C60" s="51" t="s">
        <v>86</v>
      </c>
      <c r="D60" s="12" t="s">
        <v>47</v>
      </c>
      <c r="E60" s="83">
        <v>0.19</v>
      </c>
      <c r="F60" s="58">
        <f>F55*E60</f>
        <v>1.083</v>
      </c>
      <c r="G60" s="51"/>
      <c r="H60" s="53"/>
      <c r="I60" s="60">
        <v>0</v>
      </c>
      <c r="J60" s="53">
        <f t="shared" si="13"/>
        <v>0</v>
      </c>
      <c r="K60" s="54"/>
      <c r="L60" s="53"/>
      <c r="M60" s="54">
        <f t="shared" si="12"/>
        <v>0</v>
      </c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</row>
    <row r="61" spans="1:34" ht="16.5" customHeight="1" x14ac:dyDescent="0.25">
      <c r="A61" s="80"/>
      <c r="B61" s="85" t="s">
        <v>87</v>
      </c>
      <c r="C61" s="80" t="s">
        <v>88</v>
      </c>
      <c r="D61" s="85" t="s">
        <v>47</v>
      </c>
      <c r="E61" s="86">
        <v>0.47</v>
      </c>
      <c r="F61" s="87">
        <f>F55*E61</f>
        <v>2.6789999999999998</v>
      </c>
      <c r="G61" s="80"/>
      <c r="H61" s="63"/>
      <c r="I61" s="60">
        <v>0</v>
      </c>
      <c r="J61" s="63">
        <f t="shared" si="13"/>
        <v>0</v>
      </c>
      <c r="K61" s="62"/>
      <c r="L61" s="63"/>
      <c r="M61" s="62">
        <f t="shared" si="12"/>
        <v>0</v>
      </c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</row>
    <row r="62" spans="1:34" ht="34.5" customHeight="1" x14ac:dyDescent="0.25">
      <c r="A62" s="34">
        <v>9</v>
      </c>
      <c r="B62" s="50" t="s">
        <v>92</v>
      </c>
      <c r="C62" s="34" t="s">
        <v>93</v>
      </c>
      <c r="D62" s="50" t="s">
        <v>38</v>
      </c>
      <c r="E62" s="66"/>
      <c r="F62" s="49">
        <v>250</v>
      </c>
      <c r="G62" s="34"/>
      <c r="H62" s="50"/>
      <c r="I62" s="48"/>
      <c r="J62" s="50"/>
      <c r="K62" s="34"/>
      <c r="L62" s="50"/>
      <c r="M62" s="54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</row>
    <row r="63" spans="1:34" ht="16.5" customHeight="1" x14ac:dyDescent="0.25">
      <c r="A63" s="51"/>
      <c r="B63" s="51"/>
      <c r="C63" s="51" t="s">
        <v>44</v>
      </c>
      <c r="D63" s="51" t="s">
        <v>40</v>
      </c>
      <c r="E63" s="52">
        <f>1/0.438</f>
        <v>2.2831050228310503</v>
      </c>
      <c r="F63" s="58">
        <f>F62*E63</f>
        <v>570.77625570776263</v>
      </c>
      <c r="G63" s="54">
        <v>0</v>
      </c>
      <c r="H63" s="53">
        <f>F63*G63</f>
        <v>0</v>
      </c>
      <c r="I63" s="54"/>
      <c r="J63" s="53"/>
      <c r="K63" s="54"/>
      <c r="L63" s="53"/>
      <c r="M63" s="54">
        <f t="shared" ref="M63:M66" si="14">H63+J63+L63</f>
        <v>0</v>
      </c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</row>
    <row r="64" spans="1:34" ht="16.5" customHeight="1" x14ac:dyDescent="0.25">
      <c r="A64" s="51"/>
      <c r="B64" s="12"/>
      <c r="C64" s="51" t="s">
        <v>81</v>
      </c>
      <c r="D64" s="12" t="s">
        <v>82</v>
      </c>
      <c r="E64" s="88">
        <v>1.0200000000000001E-3</v>
      </c>
      <c r="F64" s="58">
        <f>F62*E64</f>
        <v>0.255</v>
      </c>
      <c r="G64" s="51"/>
      <c r="H64" s="53"/>
      <c r="I64" s="60">
        <v>0</v>
      </c>
      <c r="J64" s="53">
        <f t="shared" ref="J64:J66" si="15">F64*I64</f>
        <v>0</v>
      </c>
      <c r="K64" s="54"/>
      <c r="L64" s="53"/>
      <c r="M64" s="54">
        <f t="shared" si="14"/>
        <v>0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6.5" customHeight="1" x14ac:dyDescent="0.25">
      <c r="A65" s="51"/>
      <c r="B65" s="12" t="s">
        <v>87</v>
      </c>
      <c r="C65" s="51" t="s">
        <v>88</v>
      </c>
      <c r="D65" s="12" t="s">
        <v>47</v>
      </c>
      <c r="E65" s="88">
        <v>3.5999999999999999E-3</v>
      </c>
      <c r="F65" s="58">
        <f>F62*E65</f>
        <v>0.9</v>
      </c>
      <c r="G65" s="51"/>
      <c r="H65" s="53"/>
      <c r="I65" s="60">
        <v>0</v>
      </c>
      <c r="J65" s="53">
        <f t="shared" si="15"/>
        <v>0</v>
      </c>
      <c r="K65" s="54"/>
      <c r="L65" s="53"/>
      <c r="M65" s="54">
        <f t="shared" si="14"/>
        <v>0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6.5" customHeight="1" x14ac:dyDescent="0.25">
      <c r="A66" s="80"/>
      <c r="B66" s="80" t="s">
        <v>85</v>
      </c>
      <c r="C66" s="80" t="s">
        <v>86</v>
      </c>
      <c r="D66" s="85" t="s">
        <v>47</v>
      </c>
      <c r="E66" s="89">
        <v>8.6999999999999994E-3</v>
      </c>
      <c r="F66" s="87">
        <f>F62*E66</f>
        <v>2.1749999999999998</v>
      </c>
      <c r="G66" s="80"/>
      <c r="H66" s="63"/>
      <c r="I66" s="60">
        <v>0</v>
      </c>
      <c r="J66" s="63">
        <f t="shared" si="15"/>
        <v>0</v>
      </c>
      <c r="K66" s="62"/>
      <c r="L66" s="63"/>
      <c r="M66" s="62">
        <f t="shared" si="14"/>
        <v>0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6.5" customHeight="1" x14ac:dyDescent="0.25">
      <c r="A67" s="90">
        <v>10</v>
      </c>
      <c r="B67" s="90" t="s">
        <v>94</v>
      </c>
      <c r="C67" s="34" t="s">
        <v>95</v>
      </c>
      <c r="D67" s="91" t="s">
        <v>38</v>
      </c>
      <c r="E67" s="92"/>
      <c r="F67" s="93">
        <v>41.2</v>
      </c>
      <c r="G67" s="94"/>
      <c r="H67" s="94"/>
      <c r="I67" s="90"/>
      <c r="J67" s="91"/>
      <c r="K67" s="94"/>
      <c r="L67" s="91"/>
      <c r="M67" s="54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</row>
    <row r="68" spans="1:34" ht="16.5" customHeight="1" x14ac:dyDescent="0.25">
      <c r="A68" s="51"/>
      <c r="B68" s="1"/>
      <c r="C68" s="51" t="s">
        <v>44</v>
      </c>
      <c r="D68" s="51" t="s">
        <v>40</v>
      </c>
      <c r="E68" s="83">
        <v>1.1000000000000001</v>
      </c>
      <c r="F68" s="58">
        <f>F67*E68</f>
        <v>45.320000000000007</v>
      </c>
      <c r="G68" s="54">
        <v>0</v>
      </c>
      <c r="H68" s="53">
        <f>F68*G68</f>
        <v>0</v>
      </c>
      <c r="I68" s="51"/>
      <c r="J68" s="12"/>
      <c r="K68" s="51"/>
      <c r="L68" s="12"/>
      <c r="M68" s="54">
        <f t="shared" ref="M68:M69" si="16">H68+J68+L68</f>
        <v>0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6.5" customHeight="1" x14ac:dyDescent="0.25">
      <c r="A69" s="80"/>
      <c r="B69" s="85"/>
      <c r="C69" s="80" t="s">
        <v>63</v>
      </c>
      <c r="D69" s="85" t="s">
        <v>9</v>
      </c>
      <c r="E69" s="86">
        <v>0.10299999999999999</v>
      </c>
      <c r="F69" s="87">
        <f>F67*E69</f>
        <v>4.2435999999999998</v>
      </c>
      <c r="G69" s="62"/>
      <c r="H69" s="95"/>
      <c r="I69" s="80"/>
      <c r="J69" s="85"/>
      <c r="K69" s="62">
        <v>0</v>
      </c>
      <c r="L69" s="63">
        <f>F69*K69</f>
        <v>0</v>
      </c>
      <c r="M69" s="62">
        <f t="shared" si="16"/>
        <v>0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40.5" customHeight="1" x14ac:dyDescent="0.25">
      <c r="A70" s="34">
        <v>11</v>
      </c>
      <c r="B70" s="33" t="s">
        <v>41</v>
      </c>
      <c r="C70" s="46" t="s">
        <v>96</v>
      </c>
      <c r="D70" s="46" t="s">
        <v>43</v>
      </c>
      <c r="E70" s="46"/>
      <c r="F70" s="47">
        <v>60.2</v>
      </c>
      <c r="G70" s="48"/>
      <c r="H70" s="49"/>
      <c r="I70" s="48"/>
      <c r="J70" s="49"/>
      <c r="K70" s="48"/>
      <c r="L70" s="49"/>
      <c r="M70" s="54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</row>
    <row r="71" spans="1:34" ht="16.5" customHeight="1" x14ac:dyDescent="0.25">
      <c r="A71" s="51"/>
      <c r="B71" s="12"/>
      <c r="C71" s="51" t="s">
        <v>44</v>
      </c>
      <c r="D71" s="51" t="s">
        <v>40</v>
      </c>
      <c r="E71" s="52">
        <f>(1.29)/0.438</f>
        <v>2.945205479452055</v>
      </c>
      <c r="F71" s="53">
        <f>F70*E71</f>
        <v>177.30136986301372</v>
      </c>
      <c r="G71" s="54">
        <v>0</v>
      </c>
      <c r="H71" s="53">
        <f>F71*G71</f>
        <v>0</v>
      </c>
      <c r="I71" s="54"/>
      <c r="J71" s="53"/>
      <c r="K71" s="54"/>
      <c r="L71" s="53"/>
      <c r="M71" s="54">
        <f t="shared" ref="M71:M76" si="17">H71+J71+L71</f>
        <v>0</v>
      </c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</row>
    <row r="72" spans="1:34" ht="16.5" customHeight="1" x14ac:dyDescent="0.25">
      <c r="A72" s="55"/>
      <c r="B72" s="56" t="s">
        <v>45</v>
      </c>
      <c r="C72" s="55" t="s">
        <v>46</v>
      </c>
      <c r="D72" s="55" t="s">
        <v>47</v>
      </c>
      <c r="E72" s="57" t="s">
        <v>48</v>
      </c>
      <c r="F72" s="53">
        <v>1.4</v>
      </c>
      <c r="G72" s="54"/>
      <c r="H72" s="53"/>
      <c r="I72" s="60">
        <v>0</v>
      </c>
      <c r="J72" s="53">
        <f t="shared" ref="J72:J76" si="18">F72*I72</f>
        <v>0</v>
      </c>
      <c r="K72" s="54"/>
      <c r="L72" s="53"/>
      <c r="M72" s="54">
        <f t="shared" si="17"/>
        <v>0</v>
      </c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</row>
    <row r="73" spans="1:34" ht="16.5" customHeight="1" x14ac:dyDescent="0.25">
      <c r="A73" s="55"/>
      <c r="B73" s="55" t="s">
        <v>52</v>
      </c>
      <c r="C73" s="55" t="s">
        <v>53</v>
      </c>
      <c r="D73" s="55" t="s">
        <v>54</v>
      </c>
      <c r="E73" s="55">
        <v>3.4000000000000002E-2</v>
      </c>
      <c r="F73" s="60">
        <f>F70*E73</f>
        <v>2.0468000000000002</v>
      </c>
      <c r="G73" s="60"/>
      <c r="H73" s="60"/>
      <c r="I73" s="60">
        <v>0</v>
      </c>
      <c r="J73" s="60">
        <f t="shared" si="18"/>
        <v>0</v>
      </c>
      <c r="K73" s="60"/>
      <c r="L73" s="60"/>
      <c r="M73" s="54">
        <f t="shared" si="17"/>
        <v>0</v>
      </c>
      <c r="N73" s="55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</row>
    <row r="74" spans="1:34" ht="16.5" customHeight="1" x14ac:dyDescent="0.25">
      <c r="A74" s="55"/>
      <c r="B74" s="55"/>
      <c r="C74" s="55" t="s">
        <v>55</v>
      </c>
      <c r="D74" s="55" t="s">
        <v>38</v>
      </c>
      <c r="E74" s="51">
        <v>0.04</v>
      </c>
      <c r="F74" s="53">
        <f>F70*E74</f>
        <v>2.4080000000000004</v>
      </c>
      <c r="G74" s="54"/>
      <c r="H74" s="53"/>
      <c r="I74" s="60">
        <v>0</v>
      </c>
      <c r="J74" s="53">
        <f t="shared" si="18"/>
        <v>0</v>
      </c>
      <c r="K74" s="54"/>
      <c r="L74" s="53"/>
      <c r="M74" s="54">
        <f t="shared" si="17"/>
        <v>0</v>
      </c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</row>
    <row r="75" spans="1:34" ht="16.5" customHeight="1" x14ac:dyDescent="0.25">
      <c r="A75" s="55"/>
      <c r="B75" s="55" t="s">
        <v>56</v>
      </c>
      <c r="C75" s="55" t="s">
        <v>57</v>
      </c>
      <c r="D75" s="55" t="s">
        <v>38</v>
      </c>
      <c r="E75" s="51">
        <v>0.16</v>
      </c>
      <c r="F75" s="53">
        <f>F70*E75</f>
        <v>9.6320000000000014</v>
      </c>
      <c r="G75" s="54"/>
      <c r="H75" s="53"/>
      <c r="I75" s="60">
        <v>0</v>
      </c>
      <c r="J75" s="53">
        <f t="shared" si="18"/>
        <v>0</v>
      </c>
      <c r="K75" s="54"/>
      <c r="L75" s="53"/>
      <c r="M75" s="54">
        <f t="shared" si="17"/>
        <v>0</v>
      </c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</row>
    <row r="76" spans="1:34" ht="16.5" customHeight="1" x14ac:dyDescent="0.25">
      <c r="A76" s="61"/>
      <c r="B76" s="61"/>
      <c r="C76" s="61" t="s">
        <v>58</v>
      </c>
      <c r="D76" s="61" t="s">
        <v>54</v>
      </c>
      <c r="E76" s="62">
        <v>0.1</v>
      </c>
      <c r="F76" s="63">
        <f>F70*E76</f>
        <v>6.0200000000000005</v>
      </c>
      <c r="G76" s="62"/>
      <c r="H76" s="63"/>
      <c r="I76" s="60">
        <v>0</v>
      </c>
      <c r="J76" s="63">
        <f t="shared" si="18"/>
        <v>0</v>
      </c>
      <c r="K76" s="62"/>
      <c r="L76" s="63"/>
      <c r="M76" s="62">
        <f t="shared" si="17"/>
        <v>0</v>
      </c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</row>
    <row r="77" spans="1:34" ht="32.25" customHeight="1" x14ac:dyDescent="0.25">
      <c r="A77" s="32">
        <v>12</v>
      </c>
      <c r="B77" s="33" t="s">
        <v>97</v>
      </c>
      <c r="C77" s="34" t="s">
        <v>98</v>
      </c>
      <c r="D77" s="35" t="s">
        <v>38</v>
      </c>
      <c r="E77" s="36"/>
      <c r="F77" s="37">
        <v>46.49</v>
      </c>
      <c r="G77" s="38"/>
      <c r="H77" s="35"/>
      <c r="I77" s="38"/>
      <c r="J77" s="35"/>
      <c r="K77" s="38"/>
      <c r="L77" s="35"/>
      <c r="M77" s="54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</row>
    <row r="78" spans="1:34" ht="18" customHeight="1" x14ac:dyDescent="0.25">
      <c r="A78" s="67"/>
      <c r="B78" s="67"/>
      <c r="C78" s="67" t="s">
        <v>44</v>
      </c>
      <c r="D78" s="45" t="s">
        <v>40</v>
      </c>
      <c r="E78" s="52">
        <f>(0.77)/0.438</f>
        <v>1.7579908675799087</v>
      </c>
      <c r="F78" s="72">
        <f>F77*E78</f>
        <v>81.728995433789962</v>
      </c>
      <c r="G78" s="54">
        <v>0</v>
      </c>
      <c r="H78" s="72">
        <f>F78*G78</f>
        <v>0</v>
      </c>
      <c r="I78" s="71"/>
      <c r="J78" s="72"/>
      <c r="K78" s="71"/>
      <c r="L78" s="72"/>
      <c r="M78" s="54">
        <f t="shared" ref="M78:M80" si="19">H78+J78+L78</f>
        <v>0</v>
      </c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</row>
    <row r="79" spans="1:34" ht="18" customHeight="1" x14ac:dyDescent="0.25">
      <c r="A79" s="67"/>
      <c r="B79" s="56" t="s">
        <v>45</v>
      </c>
      <c r="C79" s="67" t="s">
        <v>99</v>
      </c>
      <c r="D79" s="45" t="s">
        <v>47</v>
      </c>
      <c r="E79" s="79" t="s">
        <v>48</v>
      </c>
      <c r="F79" s="70">
        <v>4.6500000000000004</v>
      </c>
      <c r="G79" s="67"/>
      <c r="H79" s="72"/>
      <c r="I79" s="60">
        <v>0</v>
      </c>
      <c r="J79" s="72">
        <f t="shared" ref="J79:J80" si="20">F79*I79</f>
        <v>0</v>
      </c>
      <c r="K79" s="71"/>
      <c r="L79" s="72"/>
      <c r="M79" s="54">
        <f t="shared" si="19"/>
        <v>0</v>
      </c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</row>
    <row r="80" spans="1:34" ht="18" customHeight="1" x14ac:dyDescent="0.25">
      <c r="A80" s="39"/>
      <c r="B80" s="40" t="s">
        <v>52</v>
      </c>
      <c r="C80" s="39" t="s">
        <v>53</v>
      </c>
      <c r="D80" s="40" t="s">
        <v>54</v>
      </c>
      <c r="E80" s="76">
        <v>0.06</v>
      </c>
      <c r="F80" s="77">
        <f>F77*E80</f>
        <v>2.7894000000000001</v>
      </c>
      <c r="G80" s="39"/>
      <c r="H80" s="42"/>
      <c r="I80" s="60">
        <v>0</v>
      </c>
      <c r="J80" s="42">
        <f t="shared" si="20"/>
        <v>0</v>
      </c>
      <c r="K80" s="44"/>
      <c r="L80" s="42"/>
      <c r="M80" s="62">
        <f t="shared" si="19"/>
        <v>0</v>
      </c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</row>
    <row r="81" spans="1:34" ht="16.5" customHeight="1" x14ac:dyDescent="0.25">
      <c r="A81" s="90">
        <v>13</v>
      </c>
      <c r="B81" s="90" t="s">
        <v>100</v>
      </c>
      <c r="C81" s="90" t="s">
        <v>101</v>
      </c>
      <c r="D81" s="91" t="s">
        <v>38</v>
      </c>
      <c r="E81" s="92"/>
      <c r="F81" s="93">
        <v>5.25</v>
      </c>
      <c r="G81" s="94"/>
      <c r="H81" s="91"/>
      <c r="I81" s="90"/>
      <c r="J81" s="91"/>
      <c r="K81" s="90"/>
      <c r="L81" s="91"/>
      <c r="M81" s="54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</row>
    <row r="82" spans="1:34" ht="16.5" customHeight="1" x14ac:dyDescent="0.25">
      <c r="A82" s="51"/>
      <c r="B82" s="12"/>
      <c r="C82" s="51" t="s">
        <v>44</v>
      </c>
      <c r="D82" s="51" t="s">
        <v>40</v>
      </c>
      <c r="E82" s="83">
        <v>0.91400000000000003</v>
      </c>
      <c r="F82" s="58">
        <f>F81*E82</f>
        <v>4.7984999999999998</v>
      </c>
      <c r="G82" s="54">
        <v>0</v>
      </c>
      <c r="H82" s="53">
        <f>F82*G82</f>
        <v>0</v>
      </c>
      <c r="I82" s="51"/>
      <c r="J82" s="12"/>
      <c r="K82" s="51"/>
      <c r="L82" s="12"/>
      <c r="M82" s="54">
        <f t="shared" ref="M82:M86" si="21">H82+J82+L82</f>
        <v>0</v>
      </c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</row>
    <row r="83" spans="1:34" ht="16.5" customHeight="1" x14ac:dyDescent="0.25">
      <c r="A83" s="51"/>
      <c r="B83" s="12"/>
      <c r="C83" s="51" t="s">
        <v>63</v>
      </c>
      <c r="D83" s="12" t="s">
        <v>9</v>
      </c>
      <c r="E83" s="83">
        <v>0.35299999999999998</v>
      </c>
      <c r="F83" s="58">
        <f>F81*E83</f>
        <v>1.8532499999999998</v>
      </c>
      <c r="G83" s="51"/>
      <c r="H83" s="12"/>
      <c r="I83" s="51"/>
      <c r="J83" s="12"/>
      <c r="K83" s="54">
        <v>0</v>
      </c>
      <c r="L83" s="12">
        <f>F83*K83</f>
        <v>0</v>
      </c>
      <c r="M83" s="54">
        <f t="shared" si="21"/>
        <v>0</v>
      </c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</row>
    <row r="84" spans="1:34" ht="16.5" customHeight="1" x14ac:dyDescent="0.25">
      <c r="A84" s="51"/>
      <c r="B84" s="12" t="s">
        <v>102</v>
      </c>
      <c r="C84" s="51" t="s">
        <v>103</v>
      </c>
      <c r="D84" s="12" t="s">
        <v>38</v>
      </c>
      <c r="E84" s="83">
        <v>1</v>
      </c>
      <c r="F84" s="58">
        <f>F81*E84</f>
        <v>5.25</v>
      </c>
      <c r="G84" s="51"/>
      <c r="H84" s="12"/>
      <c r="I84" s="60">
        <v>0</v>
      </c>
      <c r="J84" s="53">
        <f t="shared" ref="J84:J86" si="22">F84*I84</f>
        <v>0</v>
      </c>
      <c r="K84" s="51"/>
      <c r="L84" s="12"/>
      <c r="M84" s="54">
        <f t="shared" si="21"/>
        <v>0</v>
      </c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</row>
    <row r="85" spans="1:34" ht="16.5" customHeight="1" x14ac:dyDescent="0.25">
      <c r="A85" s="51"/>
      <c r="B85" s="12"/>
      <c r="C85" s="51" t="s">
        <v>104</v>
      </c>
      <c r="D85" s="12" t="s">
        <v>105</v>
      </c>
      <c r="E85" s="96" t="s">
        <v>48</v>
      </c>
      <c r="F85" s="58">
        <v>1</v>
      </c>
      <c r="G85" s="51"/>
      <c r="H85" s="12"/>
      <c r="I85" s="60">
        <v>0</v>
      </c>
      <c r="J85" s="53">
        <f t="shared" si="22"/>
        <v>0</v>
      </c>
      <c r="K85" s="51"/>
      <c r="L85" s="12"/>
      <c r="M85" s="54">
        <f t="shared" si="21"/>
        <v>0</v>
      </c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</row>
    <row r="86" spans="1:34" ht="16.5" customHeight="1" x14ac:dyDescent="0.25">
      <c r="A86" s="80"/>
      <c r="B86" s="85"/>
      <c r="C86" s="80" t="s">
        <v>106</v>
      </c>
      <c r="D86" s="85" t="s">
        <v>9</v>
      </c>
      <c r="E86" s="86">
        <v>0.27600000000000002</v>
      </c>
      <c r="F86" s="87">
        <f>F81*E86</f>
        <v>1.4490000000000001</v>
      </c>
      <c r="G86" s="80"/>
      <c r="H86" s="85"/>
      <c r="I86" s="60">
        <v>0</v>
      </c>
      <c r="J86" s="63">
        <f t="shared" si="22"/>
        <v>0</v>
      </c>
      <c r="K86" s="80"/>
      <c r="L86" s="85"/>
      <c r="M86" s="62">
        <f t="shared" si="21"/>
        <v>0</v>
      </c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</row>
    <row r="87" spans="1:34" ht="30" customHeight="1" x14ac:dyDescent="0.25">
      <c r="A87" s="34">
        <v>14</v>
      </c>
      <c r="B87" s="97" t="s">
        <v>107</v>
      </c>
      <c r="C87" s="46" t="s">
        <v>108</v>
      </c>
      <c r="D87" s="46" t="s">
        <v>43</v>
      </c>
      <c r="E87" s="46"/>
      <c r="F87" s="47">
        <v>12.5</v>
      </c>
      <c r="G87" s="48"/>
      <c r="H87" s="49"/>
      <c r="I87" s="48"/>
      <c r="J87" s="49"/>
      <c r="K87" s="48"/>
      <c r="L87" s="49"/>
      <c r="M87" s="54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</row>
    <row r="88" spans="1:34" ht="16.5" customHeight="1" x14ac:dyDescent="0.25">
      <c r="A88" s="51"/>
      <c r="B88" s="12"/>
      <c r="C88" s="51" t="s">
        <v>44</v>
      </c>
      <c r="D88" s="51" t="s">
        <v>40</v>
      </c>
      <c r="E88" s="83">
        <f>(0.82+0.025*3.5)/0.6005</f>
        <v>1.5112406328059949</v>
      </c>
      <c r="F88" s="53">
        <f>F87*E88</f>
        <v>18.890507910074934</v>
      </c>
      <c r="G88" s="54">
        <v>0</v>
      </c>
      <c r="H88" s="53">
        <f>F88*G88</f>
        <v>0</v>
      </c>
      <c r="I88" s="54"/>
      <c r="J88" s="53"/>
      <c r="K88" s="54"/>
      <c r="L88" s="53"/>
      <c r="M88" s="54">
        <f t="shared" ref="M88:M92" si="23">H88+J88+L88</f>
        <v>0</v>
      </c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</row>
    <row r="89" spans="1:34" ht="16.5" customHeight="1" x14ac:dyDescent="0.25">
      <c r="A89" s="55"/>
      <c r="B89" s="56" t="s">
        <v>45</v>
      </c>
      <c r="C89" s="55" t="s">
        <v>109</v>
      </c>
      <c r="D89" s="55" t="s">
        <v>47</v>
      </c>
      <c r="E89" s="57" t="s">
        <v>48</v>
      </c>
      <c r="F89" s="53">
        <v>0.6</v>
      </c>
      <c r="G89" s="54"/>
      <c r="H89" s="53"/>
      <c r="I89" s="60">
        <v>0</v>
      </c>
      <c r="J89" s="53">
        <f t="shared" ref="J89:J92" si="24">F89*I89</f>
        <v>0</v>
      </c>
      <c r="K89" s="54"/>
      <c r="L89" s="53"/>
      <c r="M89" s="54">
        <f t="shared" si="23"/>
        <v>0</v>
      </c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</row>
    <row r="90" spans="1:34" ht="16.5" customHeight="1" x14ac:dyDescent="0.25">
      <c r="A90" s="55"/>
      <c r="B90" s="55" t="s">
        <v>52</v>
      </c>
      <c r="C90" s="55" t="s">
        <v>53</v>
      </c>
      <c r="D90" s="55" t="s">
        <v>54</v>
      </c>
      <c r="E90" s="51">
        <v>6.3E-2</v>
      </c>
      <c r="F90" s="53">
        <f>F87*E90</f>
        <v>0.78749999999999998</v>
      </c>
      <c r="G90" s="54"/>
      <c r="H90" s="53"/>
      <c r="I90" s="60">
        <v>0</v>
      </c>
      <c r="J90" s="53">
        <f t="shared" si="24"/>
        <v>0</v>
      </c>
      <c r="K90" s="54"/>
      <c r="L90" s="53"/>
      <c r="M90" s="54">
        <f t="shared" si="23"/>
        <v>0</v>
      </c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</row>
    <row r="91" spans="1:34" ht="16.5" customHeight="1" x14ac:dyDescent="0.25">
      <c r="A91" s="55"/>
      <c r="B91" s="55" t="s">
        <v>56</v>
      </c>
      <c r="C91" s="55" t="s">
        <v>57</v>
      </c>
      <c r="D91" s="55" t="s">
        <v>38</v>
      </c>
      <c r="E91" s="51">
        <v>0.14000000000000001</v>
      </c>
      <c r="F91" s="53">
        <f>F87*E91</f>
        <v>1.7500000000000002</v>
      </c>
      <c r="G91" s="54"/>
      <c r="H91" s="53"/>
      <c r="I91" s="60">
        <v>0</v>
      </c>
      <c r="J91" s="53">
        <f t="shared" si="24"/>
        <v>0</v>
      </c>
      <c r="K91" s="54"/>
      <c r="L91" s="53"/>
      <c r="M91" s="54">
        <f t="shared" si="23"/>
        <v>0</v>
      </c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</row>
    <row r="92" spans="1:34" ht="16.5" customHeight="1" x14ac:dyDescent="0.25">
      <c r="A92" s="61"/>
      <c r="B92" s="61"/>
      <c r="C92" s="61" t="s">
        <v>58</v>
      </c>
      <c r="D92" s="61" t="s">
        <v>54</v>
      </c>
      <c r="E92" s="80">
        <v>0.1</v>
      </c>
      <c r="F92" s="63">
        <f>F87*E92</f>
        <v>1.25</v>
      </c>
      <c r="G92" s="62"/>
      <c r="H92" s="63"/>
      <c r="I92" s="60">
        <v>0</v>
      </c>
      <c r="J92" s="63">
        <f t="shared" si="24"/>
        <v>0</v>
      </c>
      <c r="K92" s="62"/>
      <c r="L92" s="63"/>
      <c r="M92" s="62">
        <f t="shared" si="23"/>
        <v>0</v>
      </c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</row>
    <row r="93" spans="1:34" ht="18.75" customHeight="1" x14ac:dyDescent="0.25">
      <c r="A93" s="38">
        <v>15</v>
      </c>
      <c r="B93" s="38" t="s">
        <v>110</v>
      </c>
      <c r="C93" s="98" t="s">
        <v>111</v>
      </c>
      <c r="D93" s="98" t="s">
        <v>47</v>
      </c>
      <c r="E93" s="98"/>
      <c r="F93" s="99">
        <v>0.5</v>
      </c>
      <c r="G93" s="100"/>
      <c r="H93" s="37"/>
      <c r="I93" s="100"/>
      <c r="J93" s="37"/>
      <c r="K93" s="100"/>
      <c r="L93" s="37"/>
      <c r="M93" s="54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</row>
    <row r="94" spans="1:34" ht="16.5" customHeight="1" x14ac:dyDescent="0.25">
      <c r="A94" s="51"/>
      <c r="B94" s="12"/>
      <c r="C94" s="51" t="s">
        <v>44</v>
      </c>
      <c r="D94" s="51" t="s">
        <v>40</v>
      </c>
      <c r="E94" s="83">
        <v>23.8</v>
      </c>
      <c r="F94" s="53">
        <f>F93*E94</f>
        <v>11.9</v>
      </c>
      <c r="G94" s="54">
        <v>0</v>
      </c>
      <c r="H94" s="53">
        <f>F94*G94</f>
        <v>0</v>
      </c>
      <c r="I94" s="54"/>
      <c r="J94" s="53"/>
      <c r="K94" s="54"/>
      <c r="L94" s="53"/>
      <c r="M94" s="54">
        <f t="shared" ref="M94:M99" si="25">H94+J94+L94</f>
        <v>0</v>
      </c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</row>
    <row r="95" spans="1:34" ht="16.5" customHeight="1" x14ac:dyDescent="0.25">
      <c r="A95" s="51"/>
      <c r="B95" s="12"/>
      <c r="C95" s="51" t="s">
        <v>63</v>
      </c>
      <c r="D95" s="12" t="s">
        <v>9</v>
      </c>
      <c r="E95" s="83">
        <v>2.1</v>
      </c>
      <c r="F95" s="53">
        <f>F93*E95</f>
        <v>1.05</v>
      </c>
      <c r="G95" s="54"/>
      <c r="H95" s="53"/>
      <c r="I95" s="54"/>
      <c r="J95" s="53"/>
      <c r="K95" s="54">
        <v>0</v>
      </c>
      <c r="L95" s="53">
        <f>F95*K95</f>
        <v>0</v>
      </c>
      <c r="M95" s="54">
        <f t="shared" si="25"/>
        <v>0</v>
      </c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</row>
    <row r="96" spans="1:34" ht="25.5" customHeight="1" x14ac:dyDescent="0.25">
      <c r="A96" s="101"/>
      <c r="B96" s="101"/>
      <c r="C96" s="101" t="s">
        <v>112</v>
      </c>
      <c r="D96" s="101" t="s">
        <v>47</v>
      </c>
      <c r="E96" s="102">
        <v>1.05</v>
      </c>
      <c r="F96" s="103">
        <f>F93*E96</f>
        <v>0.52500000000000002</v>
      </c>
      <c r="G96" s="102"/>
      <c r="H96" s="103"/>
      <c r="I96" s="60">
        <v>0</v>
      </c>
      <c r="J96" s="103">
        <f t="shared" ref="J96:J99" si="26">F96*I96</f>
        <v>0</v>
      </c>
      <c r="K96" s="102"/>
      <c r="L96" s="103"/>
      <c r="M96" s="102">
        <f t="shared" si="25"/>
        <v>0</v>
      </c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</row>
    <row r="97" spans="1:34" ht="16.5" customHeight="1" x14ac:dyDescent="0.25">
      <c r="A97" s="55"/>
      <c r="B97" s="55" t="s">
        <v>52</v>
      </c>
      <c r="C97" s="55" t="s">
        <v>53</v>
      </c>
      <c r="D97" s="55" t="s">
        <v>54</v>
      </c>
      <c r="E97" s="51">
        <v>7.2</v>
      </c>
      <c r="F97" s="53">
        <f>F93*E97</f>
        <v>3.6</v>
      </c>
      <c r="G97" s="54"/>
      <c r="H97" s="53"/>
      <c r="I97" s="60">
        <v>0</v>
      </c>
      <c r="J97" s="53">
        <f t="shared" si="26"/>
        <v>0</v>
      </c>
      <c r="K97" s="54"/>
      <c r="L97" s="53"/>
      <c r="M97" s="54">
        <f t="shared" si="25"/>
        <v>0</v>
      </c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</row>
    <row r="98" spans="1:34" ht="16.5" customHeight="1" x14ac:dyDescent="0.25">
      <c r="A98" s="55"/>
      <c r="B98" s="55" t="s">
        <v>113</v>
      </c>
      <c r="C98" s="55" t="s">
        <v>114</v>
      </c>
      <c r="D98" s="55" t="s">
        <v>54</v>
      </c>
      <c r="E98" s="51">
        <v>4.38</v>
      </c>
      <c r="F98" s="53">
        <f>F93*E98</f>
        <v>2.19</v>
      </c>
      <c r="G98" s="54"/>
      <c r="H98" s="53"/>
      <c r="I98" s="60">
        <v>0</v>
      </c>
      <c r="J98" s="53">
        <f t="shared" si="26"/>
        <v>0</v>
      </c>
      <c r="K98" s="54"/>
      <c r="L98" s="53"/>
      <c r="M98" s="54">
        <f t="shared" si="25"/>
        <v>0</v>
      </c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</row>
    <row r="99" spans="1:34" ht="16.5" customHeight="1" x14ac:dyDescent="0.25">
      <c r="A99" s="80"/>
      <c r="B99" s="85"/>
      <c r="C99" s="80" t="s">
        <v>106</v>
      </c>
      <c r="D99" s="85" t="s">
        <v>9</v>
      </c>
      <c r="E99" s="86">
        <v>3.44</v>
      </c>
      <c r="F99" s="63">
        <f>F93*E99</f>
        <v>1.72</v>
      </c>
      <c r="G99" s="62"/>
      <c r="H99" s="63"/>
      <c r="I99" s="60">
        <v>0</v>
      </c>
      <c r="J99" s="63">
        <f t="shared" si="26"/>
        <v>0</v>
      </c>
      <c r="K99" s="62"/>
      <c r="L99" s="63"/>
      <c r="M99" s="62">
        <f t="shared" si="25"/>
        <v>0</v>
      </c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</row>
    <row r="100" spans="1:34" ht="33" customHeight="1" x14ac:dyDescent="0.25">
      <c r="A100" s="34">
        <v>16</v>
      </c>
      <c r="B100" s="34" t="s">
        <v>115</v>
      </c>
      <c r="C100" s="46" t="s">
        <v>116</v>
      </c>
      <c r="D100" s="46" t="s">
        <v>47</v>
      </c>
      <c r="E100" s="46"/>
      <c r="F100" s="47">
        <v>0.2</v>
      </c>
      <c r="G100" s="48"/>
      <c r="H100" s="49"/>
      <c r="I100" s="48"/>
      <c r="J100" s="49"/>
      <c r="K100" s="48"/>
      <c r="L100" s="49"/>
      <c r="M100" s="54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</row>
    <row r="101" spans="1:34" ht="16.5" customHeight="1" x14ac:dyDescent="0.25">
      <c r="A101" s="51"/>
      <c r="B101" s="12"/>
      <c r="C101" s="51" t="s">
        <v>44</v>
      </c>
      <c r="D101" s="51" t="s">
        <v>40</v>
      </c>
      <c r="E101" s="83">
        <v>23.8</v>
      </c>
      <c r="F101" s="53">
        <f>F100*E101</f>
        <v>4.7600000000000007</v>
      </c>
      <c r="G101" s="54">
        <v>0</v>
      </c>
      <c r="H101" s="53">
        <f>F101*G101</f>
        <v>0</v>
      </c>
      <c r="I101" s="54"/>
      <c r="J101" s="53"/>
      <c r="K101" s="54"/>
      <c r="L101" s="53"/>
      <c r="M101" s="54">
        <f t="shared" ref="M101:M107" si="27">H101+J101+L101</f>
        <v>0</v>
      </c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</row>
    <row r="102" spans="1:34" ht="16.5" customHeight="1" x14ac:dyDescent="0.25">
      <c r="A102" s="51"/>
      <c r="B102" s="12"/>
      <c r="C102" s="51" t="s">
        <v>63</v>
      </c>
      <c r="D102" s="12" t="s">
        <v>9</v>
      </c>
      <c r="E102" s="83">
        <v>2.1</v>
      </c>
      <c r="F102" s="53">
        <f>F100*E102</f>
        <v>0.42000000000000004</v>
      </c>
      <c r="G102" s="54"/>
      <c r="H102" s="53"/>
      <c r="I102" s="54"/>
      <c r="J102" s="53"/>
      <c r="K102" s="54">
        <v>0</v>
      </c>
      <c r="L102" s="53">
        <f>F102*K102</f>
        <v>0</v>
      </c>
      <c r="M102" s="54">
        <f t="shared" si="27"/>
        <v>0</v>
      </c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</row>
    <row r="103" spans="1:34" ht="16.5" customHeight="1" x14ac:dyDescent="0.25">
      <c r="A103" s="55"/>
      <c r="B103" s="55" t="s">
        <v>117</v>
      </c>
      <c r="C103" s="55" t="s">
        <v>118</v>
      </c>
      <c r="D103" s="55" t="s">
        <v>47</v>
      </c>
      <c r="E103" s="54">
        <v>1.05</v>
      </c>
      <c r="F103" s="53">
        <f>F100*E103</f>
        <v>0.21000000000000002</v>
      </c>
      <c r="G103" s="54"/>
      <c r="H103" s="53"/>
      <c r="I103" s="60">
        <v>0</v>
      </c>
      <c r="J103" s="53">
        <f t="shared" ref="J103:J107" si="28">F103*I103</f>
        <v>0</v>
      </c>
      <c r="K103" s="54"/>
      <c r="L103" s="53"/>
      <c r="M103" s="54">
        <f t="shared" si="27"/>
        <v>0</v>
      </c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</row>
    <row r="104" spans="1:34" ht="16.5" customHeight="1" x14ac:dyDescent="0.25">
      <c r="A104" s="55"/>
      <c r="B104" s="55" t="s">
        <v>52</v>
      </c>
      <c r="C104" s="55" t="s">
        <v>53</v>
      </c>
      <c r="D104" s="55" t="s">
        <v>54</v>
      </c>
      <c r="E104" s="51">
        <v>7.2</v>
      </c>
      <c r="F104" s="53">
        <f>F100*E104</f>
        <v>1.4400000000000002</v>
      </c>
      <c r="G104" s="54"/>
      <c r="H104" s="53"/>
      <c r="I104" s="60">
        <v>0</v>
      </c>
      <c r="J104" s="53">
        <f t="shared" si="28"/>
        <v>0</v>
      </c>
      <c r="K104" s="54"/>
      <c r="L104" s="53"/>
      <c r="M104" s="54">
        <f t="shared" si="27"/>
        <v>0</v>
      </c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</row>
    <row r="105" spans="1:34" ht="16.5" customHeight="1" x14ac:dyDescent="0.25">
      <c r="A105" s="55"/>
      <c r="B105" s="55" t="s">
        <v>119</v>
      </c>
      <c r="C105" s="55" t="s">
        <v>114</v>
      </c>
      <c r="D105" s="55" t="s">
        <v>54</v>
      </c>
      <c r="E105" s="51">
        <v>4.38</v>
      </c>
      <c r="F105" s="53">
        <f>F100*E105</f>
        <v>0.876</v>
      </c>
      <c r="G105" s="54"/>
      <c r="H105" s="53"/>
      <c r="I105" s="60">
        <v>0</v>
      </c>
      <c r="J105" s="53">
        <f t="shared" si="28"/>
        <v>0</v>
      </c>
      <c r="K105" s="54"/>
      <c r="L105" s="53"/>
      <c r="M105" s="54">
        <f t="shared" si="27"/>
        <v>0</v>
      </c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</row>
    <row r="106" spans="1:34" ht="16.5" customHeight="1" x14ac:dyDescent="0.25">
      <c r="A106" s="55"/>
      <c r="B106" s="55" t="s">
        <v>56</v>
      </c>
      <c r="C106" s="55" t="s">
        <v>57</v>
      </c>
      <c r="D106" s="55" t="s">
        <v>38</v>
      </c>
      <c r="E106" s="51">
        <v>3.38</v>
      </c>
      <c r="F106" s="53">
        <f>F100*E106</f>
        <v>0.67600000000000005</v>
      </c>
      <c r="G106" s="54"/>
      <c r="H106" s="53"/>
      <c r="I106" s="60">
        <v>0</v>
      </c>
      <c r="J106" s="53">
        <f t="shared" si="28"/>
        <v>0</v>
      </c>
      <c r="K106" s="54"/>
      <c r="L106" s="53"/>
      <c r="M106" s="54">
        <f t="shared" si="27"/>
        <v>0</v>
      </c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</row>
    <row r="107" spans="1:34" ht="16.5" customHeight="1" x14ac:dyDescent="0.25">
      <c r="A107" s="80"/>
      <c r="B107" s="85"/>
      <c r="C107" s="80" t="s">
        <v>106</v>
      </c>
      <c r="D107" s="85" t="s">
        <v>9</v>
      </c>
      <c r="E107" s="86">
        <v>3.44</v>
      </c>
      <c r="F107" s="63">
        <f>F100*E107</f>
        <v>0.68800000000000006</v>
      </c>
      <c r="G107" s="62"/>
      <c r="H107" s="63"/>
      <c r="I107" s="60">
        <v>0</v>
      </c>
      <c r="J107" s="63">
        <f t="shared" si="28"/>
        <v>0</v>
      </c>
      <c r="K107" s="62"/>
      <c r="L107" s="63"/>
      <c r="M107" s="62">
        <f t="shared" si="27"/>
        <v>0</v>
      </c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</row>
    <row r="108" spans="1:34" ht="16.5" customHeight="1" x14ac:dyDescent="0.25">
      <c r="A108" s="64">
        <v>17</v>
      </c>
      <c r="B108" s="34" t="s">
        <v>120</v>
      </c>
      <c r="C108" s="34" t="s">
        <v>121</v>
      </c>
      <c r="D108" s="50" t="s">
        <v>38</v>
      </c>
      <c r="E108" s="66"/>
      <c r="F108" s="49">
        <v>180</v>
      </c>
      <c r="G108" s="34"/>
      <c r="H108" s="50"/>
      <c r="I108" s="34"/>
      <c r="J108" s="50"/>
      <c r="K108" s="48"/>
      <c r="L108" s="50"/>
      <c r="M108" s="54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</row>
    <row r="109" spans="1:34" ht="16.5" customHeight="1" x14ac:dyDescent="0.25">
      <c r="A109" s="51"/>
      <c r="B109" s="12"/>
      <c r="C109" s="51" t="s">
        <v>44</v>
      </c>
      <c r="D109" s="51" t="s">
        <v>40</v>
      </c>
      <c r="E109" s="88">
        <v>6.9199999999999998E-2</v>
      </c>
      <c r="F109" s="58">
        <f>F108*E109</f>
        <v>12.456</v>
      </c>
      <c r="G109" s="54">
        <v>0</v>
      </c>
      <c r="H109" s="53">
        <f>F109*G109</f>
        <v>0</v>
      </c>
      <c r="I109" s="54"/>
      <c r="J109" s="53"/>
      <c r="K109" s="54"/>
      <c r="L109" s="53"/>
      <c r="M109" s="54">
        <f t="shared" ref="M109:M111" si="29">H109+J109+L109</f>
        <v>0</v>
      </c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</row>
    <row r="110" spans="1:34" ht="16.5" customHeight="1" x14ac:dyDescent="0.25">
      <c r="A110" s="51"/>
      <c r="B110" s="12"/>
      <c r="C110" s="51" t="s">
        <v>63</v>
      </c>
      <c r="D110" s="12" t="s">
        <v>9</v>
      </c>
      <c r="E110" s="88">
        <v>1.6000000000000001E-3</v>
      </c>
      <c r="F110" s="58">
        <f>F108*E110</f>
        <v>0.28800000000000003</v>
      </c>
      <c r="G110" s="51"/>
      <c r="H110" s="53"/>
      <c r="I110" s="54"/>
      <c r="J110" s="53"/>
      <c r="K110" s="54">
        <v>0</v>
      </c>
      <c r="L110" s="53">
        <f>F110*K110</f>
        <v>0</v>
      </c>
      <c r="M110" s="54">
        <f t="shared" si="29"/>
        <v>0</v>
      </c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</row>
    <row r="111" spans="1:34" ht="16.5" customHeight="1" x14ac:dyDescent="0.25">
      <c r="A111" s="61"/>
      <c r="B111" s="61"/>
      <c r="C111" s="61" t="s">
        <v>122</v>
      </c>
      <c r="D111" s="61" t="s">
        <v>123</v>
      </c>
      <c r="E111" s="62">
        <v>0.34</v>
      </c>
      <c r="F111" s="63">
        <f>F108*E111</f>
        <v>61.2</v>
      </c>
      <c r="G111" s="62"/>
      <c r="H111" s="63"/>
      <c r="I111" s="60">
        <v>0</v>
      </c>
      <c r="J111" s="63">
        <f>F111*I111</f>
        <v>0</v>
      </c>
      <c r="K111" s="62"/>
      <c r="L111" s="63"/>
      <c r="M111" s="62">
        <f t="shared" si="29"/>
        <v>0</v>
      </c>
      <c r="N111" s="105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</row>
    <row r="112" spans="1:34" ht="36.75" customHeight="1" x14ac:dyDescent="0.25">
      <c r="A112" s="34">
        <v>18</v>
      </c>
      <c r="B112" s="50" t="s">
        <v>124</v>
      </c>
      <c r="C112" s="34" t="s">
        <v>125</v>
      </c>
      <c r="D112" s="50" t="s">
        <v>43</v>
      </c>
      <c r="E112" s="66"/>
      <c r="F112" s="49">
        <v>3</v>
      </c>
      <c r="G112" s="34"/>
      <c r="H112" s="50"/>
      <c r="I112" s="48"/>
      <c r="J112" s="50"/>
      <c r="K112" s="34"/>
      <c r="L112" s="50"/>
      <c r="M112" s="54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</row>
    <row r="113" spans="1:34" ht="16.5" customHeight="1" x14ac:dyDescent="0.25">
      <c r="A113" s="51"/>
      <c r="B113" s="1"/>
      <c r="C113" s="51" t="s">
        <v>44</v>
      </c>
      <c r="D113" s="104" t="s">
        <v>40</v>
      </c>
      <c r="E113" s="83">
        <f>0.292/0.06005</f>
        <v>4.8626144879267272</v>
      </c>
      <c r="F113" s="58">
        <f>F112*E113</f>
        <v>14.587843463780182</v>
      </c>
      <c r="G113" s="54">
        <v>0</v>
      </c>
      <c r="H113" s="53">
        <f>F113*G113</f>
        <v>0</v>
      </c>
      <c r="I113" s="54"/>
      <c r="J113" s="53"/>
      <c r="K113" s="54"/>
      <c r="L113" s="53"/>
      <c r="M113" s="54">
        <f t="shared" ref="M113:M116" si="30">H113+J113+L113</f>
        <v>0</v>
      </c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6.5" customHeight="1" x14ac:dyDescent="0.25">
      <c r="A114" s="68"/>
      <c r="B114" s="104"/>
      <c r="C114" s="68" t="s">
        <v>126</v>
      </c>
      <c r="D114" s="104" t="s">
        <v>54</v>
      </c>
      <c r="E114" s="52">
        <v>2.8</v>
      </c>
      <c r="F114" s="107">
        <f>F112*E114</f>
        <v>8.3999999999999986</v>
      </c>
      <c r="G114" s="68"/>
      <c r="H114" s="103"/>
      <c r="I114" s="60">
        <v>0</v>
      </c>
      <c r="J114" s="103">
        <f t="shared" ref="J114:J116" si="31">F114*I114</f>
        <v>0</v>
      </c>
      <c r="K114" s="102"/>
      <c r="L114" s="103"/>
      <c r="M114" s="54">
        <f t="shared" si="30"/>
        <v>0</v>
      </c>
      <c r="N114" s="358"/>
      <c r="O114" s="357"/>
      <c r="P114" s="357"/>
      <c r="Q114" s="357"/>
      <c r="R114" s="357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</row>
    <row r="115" spans="1:34" ht="16.5" customHeight="1" x14ac:dyDescent="0.25">
      <c r="A115" s="68"/>
      <c r="B115" s="12" t="s">
        <v>87</v>
      </c>
      <c r="C115" s="68" t="s">
        <v>88</v>
      </c>
      <c r="D115" s="104" t="s">
        <v>47</v>
      </c>
      <c r="E115" s="52">
        <v>0.01</v>
      </c>
      <c r="F115" s="107">
        <f>F112*E115</f>
        <v>0.03</v>
      </c>
      <c r="G115" s="68"/>
      <c r="H115" s="103"/>
      <c r="I115" s="60">
        <v>0</v>
      </c>
      <c r="J115" s="103">
        <f t="shared" si="31"/>
        <v>0</v>
      </c>
      <c r="K115" s="102"/>
      <c r="L115" s="103"/>
      <c r="M115" s="54">
        <f t="shared" si="30"/>
        <v>0</v>
      </c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8"/>
      <c r="AF115" s="108"/>
      <c r="AG115" s="108"/>
      <c r="AH115" s="108"/>
    </row>
    <row r="116" spans="1:34" ht="16.5" customHeight="1" x14ac:dyDescent="0.25">
      <c r="A116" s="80"/>
      <c r="B116" s="80" t="s">
        <v>85</v>
      </c>
      <c r="C116" s="80" t="s">
        <v>86</v>
      </c>
      <c r="D116" s="85">
        <v>6.0000000000000001E-3</v>
      </c>
      <c r="E116" s="86">
        <v>4.0000000000000001E-3</v>
      </c>
      <c r="F116" s="87">
        <f>F112*E116</f>
        <v>1.2E-2</v>
      </c>
      <c r="G116" s="80"/>
      <c r="H116" s="63"/>
      <c r="I116" s="60">
        <v>0</v>
      </c>
      <c r="J116" s="63">
        <f t="shared" si="31"/>
        <v>0</v>
      </c>
      <c r="K116" s="62"/>
      <c r="L116" s="63"/>
      <c r="M116" s="62">
        <f t="shared" si="30"/>
        <v>0</v>
      </c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30" customHeight="1" x14ac:dyDescent="0.25">
      <c r="A117" s="64">
        <v>19</v>
      </c>
      <c r="B117" s="34" t="s">
        <v>127</v>
      </c>
      <c r="C117" s="34" t="s">
        <v>128</v>
      </c>
      <c r="D117" s="50" t="s">
        <v>38</v>
      </c>
      <c r="E117" s="66"/>
      <c r="F117" s="49">
        <v>86</v>
      </c>
      <c r="G117" s="34"/>
      <c r="H117" s="50"/>
      <c r="I117" s="34"/>
      <c r="J117" s="50"/>
      <c r="K117" s="48"/>
      <c r="L117" s="50"/>
      <c r="M117" s="54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</row>
    <row r="118" spans="1:34" ht="16.5" customHeight="1" x14ac:dyDescent="0.25">
      <c r="A118" s="51"/>
      <c r="B118" s="12" t="s">
        <v>129</v>
      </c>
      <c r="C118" s="51" t="s">
        <v>44</v>
      </c>
      <c r="D118" s="51" t="s">
        <v>38</v>
      </c>
      <c r="E118" s="83">
        <v>1</v>
      </c>
      <c r="F118" s="58">
        <f>F117*E118</f>
        <v>86</v>
      </c>
      <c r="G118" s="54">
        <v>0</v>
      </c>
      <c r="H118" s="53">
        <f>F118*G118</f>
        <v>0</v>
      </c>
      <c r="I118" s="54"/>
      <c r="J118" s="53"/>
      <c r="K118" s="54"/>
      <c r="L118" s="53"/>
      <c r="M118" s="54">
        <f t="shared" ref="M118:M120" si="32">H118+J118+L118</f>
        <v>0</v>
      </c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</row>
    <row r="119" spans="1:34" ht="16.5" customHeight="1" x14ac:dyDescent="0.25">
      <c r="A119" s="51"/>
      <c r="B119" s="12"/>
      <c r="C119" s="51" t="s">
        <v>63</v>
      </c>
      <c r="D119" s="12" t="s">
        <v>9</v>
      </c>
      <c r="E119" s="88">
        <v>2.0999999999999999E-3</v>
      </c>
      <c r="F119" s="58">
        <f>F117*E119</f>
        <v>0.18059999999999998</v>
      </c>
      <c r="G119" s="51"/>
      <c r="H119" s="53"/>
      <c r="I119" s="54"/>
      <c r="J119" s="53"/>
      <c r="K119" s="54">
        <v>0</v>
      </c>
      <c r="L119" s="53">
        <f>F119*K119</f>
        <v>0</v>
      </c>
      <c r="M119" s="54">
        <f t="shared" si="32"/>
        <v>0</v>
      </c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</row>
    <row r="120" spans="1:34" ht="16.5" customHeight="1" x14ac:dyDescent="0.25">
      <c r="A120" s="80"/>
      <c r="B120" s="85"/>
      <c r="C120" s="80" t="s">
        <v>130</v>
      </c>
      <c r="D120" s="85" t="s">
        <v>54</v>
      </c>
      <c r="E120" s="86">
        <v>0.2</v>
      </c>
      <c r="F120" s="87">
        <f>F117*E120</f>
        <v>17.2</v>
      </c>
      <c r="G120" s="80"/>
      <c r="H120" s="63"/>
      <c r="I120" s="60">
        <v>0</v>
      </c>
      <c r="J120" s="63">
        <f>F120*I120</f>
        <v>0</v>
      </c>
      <c r="K120" s="62"/>
      <c r="L120" s="63"/>
      <c r="M120" s="62">
        <f t="shared" si="32"/>
        <v>0</v>
      </c>
      <c r="N120" s="105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</row>
    <row r="121" spans="1:34" ht="33" customHeight="1" x14ac:dyDescent="0.25">
      <c r="A121" s="34">
        <v>20</v>
      </c>
      <c r="B121" s="33" t="s">
        <v>131</v>
      </c>
      <c r="C121" s="46" t="s">
        <v>132</v>
      </c>
      <c r="D121" s="46" t="s">
        <v>133</v>
      </c>
      <c r="E121" s="46"/>
      <c r="F121" s="47">
        <v>900</v>
      </c>
      <c r="G121" s="48"/>
      <c r="H121" s="49"/>
      <c r="I121" s="48"/>
      <c r="J121" s="49"/>
      <c r="K121" s="48"/>
      <c r="L121" s="49"/>
      <c r="M121" s="54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</row>
    <row r="122" spans="1:34" ht="16.5" customHeight="1" x14ac:dyDescent="0.25">
      <c r="A122" s="80"/>
      <c r="B122" s="85"/>
      <c r="C122" s="80" t="s">
        <v>44</v>
      </c>
      <c r="D122" s="80" t="s">
        <v>40</v>
      </c>
      <c r="E122" s="41">
        <f>(0.1+0.03*2)/0.6005</f>
        <v>0.26644462947543712</v>
      </c>
      <c r="F122" s="63">
        <f>F121*E122</f>
        <v>239.80016652789342</v>
      </c>
      <c r="G122" s="54">
        <v>0</v>
      </c>
      <c r="H122" s="63">
        <f>F122*G122</f>
        <v>0</v>
      </c>
      <c r="I122" s="62"/>
      <c r="J122" s="63"/>
      <c r="K122" s="62"/>
      <c r="L122" s="63"/>
      <c r="M122" s="62">
        <f>H122+J122+L122</f>
        <v>0</v>
      </c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</row>
    <row r="123" spans="1:34" ht="36.75" customHeight="1" x14ac:dyDescent="0.25">
      <c r="A123" s="34">
        <v>21</v>
      </c>
      <c r="B123" s="33" t="s">
        <v>134</v>
      </c>
      <c r="C123" s="34" t="s">
        <v>135</v>
      </c>
      <c r="D123" s="50" t="s">
        <v>47</v>
      </c>
      <c r="E123" s="66"/>
      <c r="F123" s="49">
        <v>7</v>
      </c>
      <c r="G123" s="48"/>
      <c r="H123" s="34"/>
      <c r="I123" s="34"/>
      <c r="J123" s="50"/>
      <c r="K123" s="34"/>
      <c r="L123" s="50"/>
      <c r="M123" s="54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</row>
    <row r="124" spans="1:34" ht="16.5" customHeight="1" x14ac:dyDescent="0.25">
      <c r="A124" s="80"/>
      <c r="B124" s="80"/>
      <c r="C124" s="80" t="s">
        <v>44</v>
      </c>
      <c r="D124" s="80" t="s">
        <v>40</v>
      </c>
      <c r="E124" s="86">
        <f>1.81/0.6005</f>
        <v>3.0141548709408825</v>
      </c>
      <c r="F124" s="87">
        <f>F123*E124</f>
        <v>21.099084096586179</v>
      </c>
      <c r="G124" s="54">
        <v>0</v>
      </c>
      <c r="H124" s="63">
        <f>F124*G124</f>
        <v>0</v>
      </c>
      <c r="I124" s="62"/>
      <c r="J124" s="63"/>
      <c r="K124" s="62"/>
      <c r="L124" s="63"/>
      <c r="M124" s="62">
        <f>H124+J124+L124</f>
        <v>0</v>
      </c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</row>
    <row r="125" spans="1:34" ht="32.25" customHeight="1" x14ac:dyDescent="0.25">
      <c r="A125" s="34">
        <v>22</v>
      </c>
      <c r="B125" s="109">
        <v>22</v>
      </c>
      <c r="C125" s="34" t="s">
        <v>136</v>
      </c>
      <c r="D125" s="50" t="s">
        <v>47</v>
      </c>
      <c r="E125" s="66"/>
      <c r="F125" s="49">
        <f>46.49*0.08</f>
        <v>3.7192000000000003</v>
      </c>
      <c r="G125" s="34"/>
      <c r="H125" s="50"/>
      <c r="I125" s="110"/>
      <c r="J125" s="50"/>
      <c r="K125" s="34"/>
      <c r="L125" s="50"/>
      <c r="M125" s="54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  <c r="AE125" s="106"/>
      <c r="AF125" s="106"/>
      <c r="AG125" s="106"/>
      <c r="AH125" s="106"/>
    </row>
    <row r="126" spans="1:34" ht="16.5" customHeight="1" x14ac:dyDescent="0.25">
      <c r="A126" s="51"/>
      <c r="B126" s="111"/>
      <c r="C126" s="51" t="s">
        <v>44</v>
      </c>
      <c r="D126" s="51" t="s">
        <v>40</v>
      </c>
      <c r="E126" s="83">
        <v>6.5</v>
      </c>
      <c r="F126" s="58">
        <f>F125*E126</f>
        <v>24.174800000000001</v>
      </c>
      <c r="G126" s="54">
        <v>0</v>
      </c>
      <c r="H126" s="53">
        <f>F126*G126</f>
        <v>0</v>
      </c>
      <c r="I126" s="54"/>
      <c r="J126" s="53"/>
      <c r="K126" s="54"/>
      <c r="L126" s="53"/>
      <c r="M126" s="54">
        <f t="shared" ref="M126:M129" si="33">H126+J126+L126</f>
        <v>0</v>
      </c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6.5" customHeight="1" x14ac:dyDescent="0.25">
      <c r="A127" s="51"/>
      <c r="B127" s="12"/>
      <c r="C127" s="51" t="s">
        <v>63</v>
      </c>
      <c r="D127" s="12" t="s">
        <v>137</v>
      </c>
      <c r="E127" s="83">
        <v>2.16</v>
      </c>
      <c r="F127" s="58">
        <f>F125*E127</f>
        <v>8.0334720000000015</v>
      </c>
      <c r="G127" s="51"/>
      <c r="H127" s="53"/>
      <c r="I127" s="54"/>
      <c r="J127" s="53"/>
      <c r="K127" s="54">
        <v>0</v>
      </c>
      <c r="L127" s="53">
        <f>F127*K127</f>
        <v>0</v>
      </c>
      <c r="M127" s="54">
        <f t="shared" si="33"/>
        <v>0</v>
      </c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6.5" customHeight="1" x14ac:dyDescent="0.25">
      <c r="A128" s="51"/>
      <c r="B128" s="12" t="s">
        <v>138</v>
      </c>
      <c r="C128" s="51" t="s">
        <v>139</v>
      </c>
      <c r="D128" s="12" t="s">
        <v>47</v>
      </c>
      <c r="E128" s="83">
        <v>1.1499999999999999</v>
      </c>
      <c r="F128" s="58">
        <f>F125*E128</f>
        <v>4.2770799999999998</v>
      </c>
      <c r="G128" s="51"/>
      <c r="H128" s="53"/>
      <c r="I128" s="60">
        <v>0</v>
      </c>
      <c r="J128" s="53">
        <f t="shared" ref="J128:J129" si="34">F128*I128</f>
        <v>0</v>
      </c>
      <c r="K128" s="54"/>
      <c r="L128" s="53"/>
      <c r="M128" s="54">
        <f t="shared" si="33"/>
        <v>0</v>
      </c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6.5" customHeight="1" x14ac:dyDescent="0.25">
      <c r="A129" s="80"/>
      <c r="B129" s="85"/>
      <c r="C129" s="80" t="s">
        <v>106</v>
      </c>
      <c r="D129" s="85" t="s">
        <v>9</v>
      </c>
      <c r="E129" s="86">
        <v>0.02</v>
      </c>
      <c r="F129" s="87">
        <f>F125*E129</f>
        <v>7.4384000000000006E-2</v>
      </c>
      <c r="G129" s="80"/>
      <c r="H129" s="63"/>
      <c r="I129" s="60">
        <v>0</v>
      </c>
      <c r="J129" s="63">
        <f t="shared" si="34"/>
        <v>0</v>
      </c>
      <c r="K129" s="62"/>
      <c r="L129" s="63"/>
      <c r="M129" s="62">
        <f t="shared" si="33"/>
        <v>0</v>
      </c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33.75" customHeight="1" x14ac:dyDescent="0.25">
      <c r="A130" s="38">
        <v>23</v>
      </c>
      <c r="B130" s="50" t="s">
        <v>140</v>
      </c>
      <c r="C130" s="34" t="s">
        <v>141</v>
      </c>
      <c r="D130" s="50" t="s">
        <v>38</v>
      </c>
      <c r="E130" s="34"/>
      <c r="F130" s="49">
        <v>330</v>
      </c>
      <c r="G130" s="38"/>
      <c r="H130" s="49"/>
      <c r="I130" s="34"/>
      <c r="J130" s="49"/>
      <c r="K130" s="34"/>
      <c r="L130" s="49"/>
      <c r="M130" s="54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</row>
    <row r="131" spans="1:34" ht="16.5" customHeight="1" x14ac:dyDescent="0.25">
      <c r="A131" s="67"/>
      <c r="B131" s="104"/>
      <c r="C131" s="68" t="s">
        <v>142</v>
      </c>
      <c r="D131" s="104" t="s">
        <v>40</v>
      </c>
      <c r="E131" s="52">
        <f>(0.46)/0.6005</f>
        <v>0.76602830974188174</v>
      </c>
      <c r="F131" s="103">
        <f>F130*E131</f>
        <v>252.78934221482098</v>
      </c>
      <c r="G131" s="54">
        <v>0</v>
      </c>
      <c r="H131" s="103">
        <f>F131*G131</f>
        <v>0</v>
      </c>
      <c r="I131" s="102"/>
      <c r="J131" s="103"/>
      <c r="K131" s="102"/>
      <c r="L131" s="103"/>
      <c r="M131" s="54">
        <f t="shared" ref="M131:M135" si="35">H131+J131+L131</f>
        <v>0</v>
      </c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13"/>
      <c r="AH131" s="113"/>
    </row>
    <row r="132" spans="1:34" ht="16.5" customHeight="1" x14ac:dyDescent="0.25">
      <c r="A132" s="67"/>
      <c r="B132" s="114" t="s">
        <v>117</v>
      </c>
      <c r="C132" s="68" t="s">
        <v>143</v>
      </c>
      <c r="D132" s="104" t="s">
        <v>47</v>
      </c>
      <c r="E132" s="74">
        <f>0.0189+0.001+0.05+0.025</f>
        <v>9.4900000000000012E-2</v>
      </c>
      <c r="F132" s="103">
        <f>F130*E132</f>
        <v>31.317000000000004</v>
      </c>
      <c r="G132" s="71"/>
      <c r="H132" s="103"/>
      <c r="I132" s="60">
        <v>0</v>
      </c>
      <c r="J132" s="103">
        <f t="shared" ref="J132:J135" si="36">F132*I132</f>
        <v>0</v>
      </c>
      <c r="K132" s="102"/>
      <c r="L132" s="103"/>
      <c r="M132" s="54">
        <f t="shared" si="35"/>
        <v>0</v>
      </c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3"/>
      <c r="AH132" s="113"/>
    </row>
    <row r="133" spans="1:34" ht="16.5" customHeight="1" x14ac:dyDescent="0.25">
      <c r="A133" s="67"/>
      <c r="B133" s="114" t="s">
        <v>119</v>
      </c>
      <c r="C133" s="68" t="s">
        <v>144</v>
      </c>
      <c r="D133" s="104" t="s">
        <v>54</v>
      </c>
      <c r="E133" s="68">
        <v>0.18</v>
      </c>
      <c r="F133" s="103">
        <f>F130*E133</f>
        <v>59.4</v>
      </c>
      <c r="G133" s="74"/>
      <c r="H133" s="103"/>
      <c r="I133" s="60">
        <v>0</v>
      </c>
      <c r="J133" s="103">
        <f t="shared" si="36"/>
        <v>0</v>
      </c>
      <c r="K133" s="102"/>
      <c r="L133" s="103"/>
      <c r="M133" s="54">
        <f t="shared" si="35"/>
        <v>0</v>
      </c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  <c r="AH133" s="113"/>
    </row>
    <row r="134" spans="1:34" ht="16.5" customHeight="1" x14ac:dyDescent="0.25">
      <c r="A134" s="67"/>
      <c r="B134" s="12" t="s">
        <v>145</v>
      </c>
      <c r="C134" s="68" t="s">
        <v>146</v>
      </c>
      <c r="D134" s="104" t="s">
        <v>54</v>
      </c>
      <c r="E134" s="68">
        <v>0.95</v>
      </c>
      <c r="F134" s="103">
        <f>F130*E134</f>
        <v>313.5</v>
      </c>
      <c r="G134" s="74"/>
      <c r="H134" s="103"/>
      <c r="I134" s="60">
        <v>0</v>
      </c>
      <c r="J134" s="103">
        <f t="shared" si="36"/>
        <v>0</v>
      </c>
      <c r="K134" s="102"/>
      <c r="L134" s="103"/>
      <c r="M134" s="54">
        <f t="shared" si="35"/>
        <v>0</v>
      </c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3"/>
      <c r="AH134" s="113"/>
    </row>
    <row r="135" spans="1:34" ht="16.5" customHeight="1" x14ac:dyDescent="0.25">
      <c r="A135" s="39"/>
      <c r="B135" s="115" t="s">
        <v>52</v>
      </c>
      <c r="C135" s="75" t="s">
        <v>53</v>
      </c>
      <c r="D135" s="116" t="s">
        <v>54</v>
      </c>
      <c r="E135" s="75">
        <v>0.11</v>
      </c>
      <c r="F135" s="117">
        <f>F130*E135</f>
        <v>36.299999999999997</v>
      </c>
      <c r="G135" s="44"/>
      <c r="H135" s="117"/>
      <c r="I135" s="60">
        <v>0</v>
      </c>
      <c r="J135" s="118">
        <f t="shared" si="36"/>
        <v>0</v>
      </c>
      <c r="K135" s="118"/>
      <c r="L135" s="117"/>
      <c r="M135" s="62">
        <f t="shared" si="35"/>
        <v>0</v>
      </c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3"/>
    </row>
    <row r="136" spans="1:34" ht="24" customHeight="1" x14ac:dyDescent="0.25">
      <c r="A136" s="38">
        <v>24</v>
      </c>
      <c r="B136" s="33" t="s">
        <v>147</v>
      </c>
      <c r="C136" s="34" t="s">
        <v>148</v>
      </c>
      <c r="D136" s="50" t="s">
        <v>38</v>
      </c>
      <c r="E136" s="34"/>
      <c r="F136" s="119">
        <v>330</v>
      </c>
      <c r="G136" s="38"/>
      <c r="H136" s="49"/>
      <c r="I136" s="34"/>
      <c r="J136" s="49"/>
      <c r="K136" s="34"/>
      <c r="L136" s="49"/>
      <c r="M136" s="54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  <c r="AA136" s="112"/>
      <c r="AB136" s="112"/>
      <c r="AC136" s="112"/>
      <c r="AD136" s="112"/>
      <c r="AE136" s="112"/>
      <c r="AF136" s="112"/>
      <c r="AG136" s="112"/>
      <c r="AH136" s="112"/>
    </row>
    <row r="137" spans="1:34" ht="16.5" customHeight="1" x14ac:dyDescent="0.25">
      <c r="A137" s="39"/>
      <c r="B137" s="116"/>
      <c r="C137" s="75" t="s">
        <v>142</v>
      </c>
      <c r="D137" s="116" t="s">
        <v>40</v>
      </c>
      <c r="E137" s="41">
        <f>0.23/0.6005</f>
        <v>0.38301415487094087</v>
      </c>
      <c r="F137" s="117">
        <f>F136*E137</f>
        <v>126.39467110741049</v>
      </c>
      <c r="G137" s="54">
        <v>0</v>
      </c>
      <c r="H137" s="117">
        <f>F137*G137</f>
        <v>0</v>
      </c>
      <c r="I137" s="118"/>
      <c r="J137" s="117"/>
      <c r="K137" s="118"/>
      <c r="L137" s="117"/>
      <c r="M137" s="62">
        <f>H137+J137+L137</f>
        <v>0</v>
      </c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</row>
    <row r="138" spans="1:34" ht="30.75" customHeight="1" x14ac:dyDescent="0.25">
      <c r="A138" s="34">
        <v>25</v>
      </c>
      <c r="B138" s="50" t="s">
        <v>149</v>
      </c>
      <c r="C138" s="34" t="s">
        <v>150</v>
      </c>
      <c r="D138" s="50" t="s">
        <v>82</v>
      </c>
      <c r="E138" s="66"/>
      <c r="F138" s="49">
        <v>20</v>
      </c>
      <c r="G138" s="48"/>
      <c r="H138" s="34"/>
      <c r="I138" s="34"/>
      <c r="J138" s="50"/>
      <c r="K138" s="34"/>
      <c r="L138" s="50"/>
      <c r="M138" s="54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</row>
    <row r="139" spans="1:34" ht="16.5" customHeight="1" x14ac:dyDescent="0.25">
      <c r="A139" s="80"/>
      <c r="B139" s="80"/>
      <c r="C139" s="80" t="s">
        <v>44</v>
      </c>
      <c r="D139" s="80" t="s">
        <v>40</v>
      </c>
      <c r="E139" s="86">
        <v>1.85</v>
      </c>
      <c r="F139" s="87">
        <f>F138*E139</f>
        <v>37</v>
      </c>
      <c r="G139" s="54">
        <v>0</v>
      </c>
      <c r="H139" s="63">
        <f>F139*G139</f>
        <v>0</v>
      </c>
      <c r="I139" s="62"/>
      <c r="J139" s="63"/>
      <c r="K139" s="62"/>
      <c r="L139" s="63"/>
      <c r="M139" s="62">
        <f>H139+J139+L139</f>
        <v>0</v>
      </c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</row>
    <row r="140" spans="1:34" ht="29.25" customHeight="1" x14ac:dyDescent="0.25">
      <c r="A140" s="34">
        <v>25</v>
      </c>
      <c r="B140" s="50" t="s">
        <v>151</v>
      </c>
      <c r="C140" s="34" t="s">
        <v>163</v>
      </c>
      <c r="D140" s="50" t="s">
        <v>47</v>
      </c>
      <c r="E140" s="66"/>
      <c r="F140" s="49">
        <v>12</v>
      </c>
      <c r="G140" s="48"/>
      <c r="H140" s="34"/>
      <c r="I140" s="34"/>
      <c r="J140" s="50"/>
      <c r="K140" s="34"/>
      <c r="L140" s="50"/>
      <c r="M140" s="54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  <c r="AA140" s="106"/>
      <c r="AB140" s="106"/>
      <c r="AC140" s="106"/>
      <c r="AD140" s="106"/>
      <c r="AE140" s="106"/>
      <c r="AF140" s="106"/>
      <c r="AG140" s="106"/>
      <c r="AH140" s="106"/>
    </row>
    <row r="141" spans="1:34" ht="16.5" customHeight="1" x14ac:dyDescent="0.25">
      <c r="A141" s="80"/>
      <c r="B141" s="80"/>
      <c r="C141" s="80" t="s">
        <v>44</v>
      </c>
      <c r="D141" s="80" t="s">
        <v>40</v>
      </c>
      <c r="E141" s="86">
        <v>0.87</v>
      </c>
      <c r="F141" s="87">
        <f>F140*E141</f>
        <v>10.44</v>
      </c>
      <c r="G141" s="54">
        <v>0</v>
      </c>
      <c r="H141" s="63">
        <f>F141*G141</f>
        <v>0</v>
      </c>
      <c r="I141" s="80"/>
      <c r="J141" s="85"/>
      <c r="K141" s="80"/>
      <c r="L141" s="85"/>
      <c r="M141" s="62">
        <f t="shared" ref="M141:M142" si="37">H141+J141+L141</f>
        <v>0</v>
      </c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36.75" customHeight="1" x14ac:dyDescent="0.25">
      <c r="A142" s="120">
        <v>26</v>
      </c>
      <c r="B142" s="121" t="s">
        <v>152</v>
      </c>
      <c r="C142" s="120" t="s">
        <v>153</v>
      </c>
      <c r="D142" s="122" t="s">
        <v>82</v>
      </c>
      <c r="E142" s="123"/>
      <c r="F142" s="124">
        <v>20</v>
      </c>
      <c r="G142" s="118"/>
      <c r="H142" s="117"/>
      <c r="I142" s="118"/>
      <c r="J142" s="117"/>
      <c r="K142" s="118">
        <v>0</v>
      </c>
      <c r="L142" s="117">
        <f>F142*K142</f>
        <v>0</v>
      </c>
      <c r="M142" s="71">
        <f t="shared" si="37"/>
        <v>0</v>
      </c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  <c r="AA142" s="108"/>
      <c r="AB142" s="108"/>
      <c r="AC142" s="108"/>
      <c r="AD142" s="108"/>
      <c r="AE142" s="108"/>
      <c r="AF142" s="108"/>
      <c r="AG142" s="108"/>
      <c r="AH142" s="108"/>
    </row>
    <row r="143" spans="1:34" ht="16.5" customHeight="1" x14ac:dyDescent="0.3">
      <c r="A143" s="125"/>
      <c r="B143" s="126"/>
      <c r="C143" s="125" t="s">
        <v>154</v>
      </c>
      <c r="D143" s="125"/>
      <c r="E143" s="127"/>
      <c r="F143" s="127"/>
      <c r="G143" s="125"/>
      <c r="H143" s="128">
        <f>SUM(H16:H142)</f>
        <v>0</v>
      </c>
      <c r="I143" s="128"/>
      <c r="J143" s="128">
        <f>SUM(J16:J142)</f>
        <v>0</v>
      </c>
      <c r="K143" s="128"/>
      <c r="L143" s="128">
        <f t="shared" ref="L143:M143" si="38">SUM(L16:L142)</f>
        <v>0</v>
      </c>
      <c r="M143" s="128">
        <f t="shared" si="38"/>
        <v>0</v>
      </c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129"/>
      <c r="AD143" s="129"/>
      <c r="AE143" s="129"/>
      <c r="AF143" s="129"/>
      <c r="AG143" s="129"/>
      <c r="AH143" s="129"/>
    </row>
    <row r="144" spans="1:34" ht="54.75" customHeight="1" x14ac:dyDescent="0.3">
      <c r="A144" s="125"/>
      <c r="B144" s="130" t="s">
        <v>155</v>
      </c>
      <c r="C144" s="131" t="s">
        <v>156</v>
      </c>
      <c r="D144" s="132">
        <v>0</v>
      </c>
      <c r="E144" s="127"/>
      <c r="F144" s="127"/>
      <c r="G144" s="125"/>
      <c r="H144" s="128">
        <f>H143*D144</f>
        <v>0</v>
      </c>
      <c r="I144" s="128"/>
      <c r="J144" s="128"/>
      <c r="K144" s="128"/>
      <c r="L144" s="128">
        <f>L143*D144</f>
        <v>0</v>
      </c>
      <c r="M144" s="128">
        <f t="shared" ref="M144:M145" si="39">H144+L144</f>
        <v>0</v>
      </c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  <c r="AB144" s="129"/>
      <c r="AC144" s="129"/>
      <c r="AD144" s="129"/>
      <c r="AE144" s="129"/>
      <c r="AF144" s="129"/>
      <c r="AG144" s="129"/>
      <c r="AH144" s="129"/>
    </row>
    <row r="145" spans="1:34" ht="20.25" customHeight="1" x14ac:dyDescent="0.3">
      <c r="A145" s="125"/>
      <c r="B145" s="130"/>
      <c r="C145" s="133" t="s">
        <v>157</v>
      </c>
      <c r="D145" s="132">
        <v>0</v>
      </c>
      <c r="E145" s="127"/>
      <c r="F145" s="127"/>
      <c r="G145" s="125"/>
      <c r="H145" s="128"/>
      <c r="I145" s="128"/>
      <c r="J145" s="128"/>
      <c r="K145" s="128"/>
      <c r="L145" s="128">
        <f>(J143)*D145</f>
        <v>0</v>
      </c>
      <c r="M145" s="128">
        <f t="shared" si="39"/>
        <v>0</v>
      </c>
      <c r="N145" s="129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129"/>
      <c r="AD145" s="129"/>
      <c r="AE145" s="129"/>
      <c r="AF145" s="129"/>
      <c r="AG145" s="129"/>
      <c r="AH145" s="129"/>
    </row>
    <row r="146" spans="1:34" ht="16.5" customHeight="1" x14ac:dyDescent="0.3">
      <c r="A146" s="125"/>
      <c r="B146" s="125"/>
      <c r="C146" s="125" t="s">
        <v>154</v>
      </c>
      <c r="D146" s="125"/>
      <c r="E146" s="127"/>
      <c r="F146" s="127"/>
      <c r="G146" s="125"/>
      <c r="H146" s="128">
        <f>H143+H144+H145</f>
        <v>0</v>
      </c>
      <c r="I146" s="128"/>
      <c r="J146" s="128">
        <f>J143+J144+J145</f>
        <v>0</v>
      </c>
      <c r="K146" s="128"/>
      <c r="L146" s="128">
        <f t="shared" ref="L146:M146" si="40">L143+L144+L145</f>
        <v>0</v>
      </c>
      <c r="M146" s="128">
        <f t="shared" si="40"/>
        <v>0</v>
      </c>
      <c r="N146" s="129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  <c r="AB146" s="129"/>
      <c r="AC146" s="129"/>
      <c r="AD146" s="129"/>
      <c r="AE146" s="129"/>
      <c r="AF146" s="129"/>
      <c r="AG146" s="129"/>
      <c r="AH146" s="129"/>
    </row>
    <row r="147" spans="1:34" ht="16.5" customHeight="1" x14ac:dyDescent="0.3">
      <c r="A147" s="134"/>
      <c r="B147" s="134"/>
      <c r="C147" s="135" t="s">
        <v>158</v>
      </c>
      <c r="D147" s="136">
        <v>0</v>
      </c>
      <c r="E147" s="137"/>
      <c r="F147" s="137"/>
      <c r="G147" s="138"/>
      <c r="H147" s="139">
        <f>(H146)*D147</f>
        <v>0</v>
      </c>
      <c r="I147" s="139"/>
      <c r="J147" s="139">
        <f>(J146)*D147</f>
        <v>0</v>
      </c>
      <c r="K147" s="139"/>
      <c r="L147" s="139">
        <f>(L146)*D147</f>
        <v>0</v>
      </c>
      <c r="M147" s="139">
        <f t="shared" ref="M147:M150" si="41">SUM(H147:L147)</f>
        <v>0</v>
      </c>
      <c r="N147" s="140"/>
      <c r="O147" s="129"/>
      <c r="P147" s="129"/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129"/>
      <c r="AD147" s="129"/>
      <c r="AE147" s="129"/>
      <c r="AF147" s="129"/>
      <c r="AG147" s="129"/>
      <c r="AH147" s="129"/>
    </row>
    <row r="148" spans="1:34" ht="16.5" customHeight="1" x14ac:dyDescent="0.3">
      <c r="A148" s="141"/>
      <c r="B148" s="141"/>
      <c r="C148" s="135" t="s">
        <v>154</v>
      </c>
      <c r="D148" s="142"/>
      <c r="E148" s="141"/>
      <c r="F148" s="141"/>
      <c r="G148" s="141"/>
      <c r="H148" s="143">
        <f>H146+H147</f>
        <v>0</v>
      </c>
      <c r="I148" s="139"/>
      <c r="J148" s="143">
        <f>J146+J147</f>
        <v>0</v>
      </c>
      <c r="K148" s="139"/>
      <c r="L148" s="143">
        <f>L146+L147</f>
        <v>0</v>
      </c>
      <c r="M148" s="139">
        <f t="shared" si="41"/>
        <v>0</v>
      </c>
      <c r="N148" s="144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ht="16.5" customHeight="1" x14ac:dyDescent="0.3">
      <c r="A149" s="134"/>
      <c r="B149" s="134"/>
      <c r="C149" s="135" t="s">
        <v>159</v>
      </c>
      <c r="D149" s="136">
        <v>0</v>
      </c>
      <c r="E149" s="137"/>
      <c r="F149" s="137"/>
      <c r="G149" s="138"/>
      <c r="H149" s="139">
        <f>H148*D149</f>
        <v>0</v>
      </c>
      <c r="I149" s="139"/>
      <c r="J149" s="143">
        <f>J148*D149</f>
        <v>0</v>
      </c>
      <c r="K149" s="139"/>
      <c r="L149" s="139">
        <f>L148*D149</f>
        <v>0</v>
      </c>
      <c r="M149" s="139">
        <f t="shared" si="41"/>
        <v>0</v>
      </c>
      <c r="N149" s="140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  <c r="AF149" s="129"/>
      <c r="AG149" s="129"/>
      <c r="AH149" s="129"/>
    </row>
    <row r="150" spans="1:34" ht="16.5" customHeight="1" x14ac:dyDescent="0.3">
      <c r="A150" s="141"/>
      <c r="B150" s="141"/>
      <c r="C150" s="135" t="s">
        <v>154</v>
      </c>
      <c r="D150" s="142"/>
      <c r="E150" s="141"/>
      <c r="F150" s="141"/>
      <c r="G150" s="141"/>
      <c r="H150" s="143">
        <f>H148+H149</f>
        <v>0</v>
      </c>
      <c r="I150" s="139"/>
      <c r="J150" s="143">
        <f>J148+J149</f>
        <v>0</v>
      </c>
      <c r="K150" s="139"/>
      <c r="L150" s="139">
        <f>L148+L149</f>
        <v>0</v>
      </c>
      <c r="M150" s="139">
        <f t="shared" si="41"/>
        <v>0</v>
      </c>
      <c r="N150" s="144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ht="16.5" customHeight="1" x14ac:dyDescent="0.3">
      <c r="A151" s="145"/>
      <c r="B151" s="145"/>
      <c r="C151" s="146" t="s">
        <v>160</v>
      </c>
      <c r="D151" s="147">
        <v>0.02</v>
      </c>
      <c r="E151" s="145"/>
      <c r="F151" s="145"/>
      <c r="G151" s="145"/>
      <c r="H151" s="145"/>
      <c r="I151" s="145"/>
      <c r="J151" s="145"/>
      <c r="K151" s="145"/>
      <c r="L151" s="145"/>
      <c r="M151" s="148">
        <f>M150*D151</f>
        <v>0</v>
      </c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ht="16.5" customHeight="1" x14ac:dyDescent="0.3">
      <c r="A152" s="141"/>
      <c r="B152" s="141"/>
      <c r="C152" s="149" t="s">
        <v>154</v>
      </c>
      <c r="D152" s="135"/>
      <c r="E152" s="141"/>
      <c r="F152" s="141"/>
      <c r="G152" s="141"/>
      <c r="H152" s="143"/>
      <c r="I152" s="139"/>
      <c r="J152" s="143"/>
      <c r="K152" s="139"/>
      <c r="L152" s="139"/>
      <c r="M152" s="150">
        <f>M150+M151</f>
        <v>0</v>
      </c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ht="16.5" customHeight="1" x14ac:dyDescent="0.3">
      <c r="A153" s="145"/>
      <c r="B153" s="145"/>
      <c r="C153" s="151" t="s">
        <v>161</v>
      </c>
      <c r="D153" s="147">
        <v>0.05</v>
      </c>
      <c r="E153" s="145"/>
      <c r="F153" s="145"/>
      <c r="G153" s="145"/>
      <c r="H153" s="145"/>
      <c r="I153" s="145"/>
      <c r="J153" s="145"/>
      <c r="K153" s="145"/>
      <c r="L153" s="145"/>
      <c r="M153" s="148">
        <f>M152*D153</f>
        <v>0</v>
      </c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ht="16.5" customHeight="1" x14ac:dyDescent="0.3">
      <c r="A154" s="145"/>
      <c r="B154" s="145"/>
      <c r="C154" s="152" t="s">
        <v>20</v>
      </c>
      <c r="D154" s="153"/>
      <c r="E154" s="145"/>
      <c r="F154" s="145"/>
      <c r="G154" s="145"/>
      <c r="H154" s="145"/>
      <c r="I154" s="145"/>
      <c r="J154" s="145"/>
      <c r="K154" s="145"/>
      <c r="L154" s="145"/>
      <c r="M154" s="148">
        <f>M152+M153</f>
        <v>0</v>
      </c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ht="16.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ht="16.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ht="16.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ht="16.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ht="16.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ht="16.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ht="16.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ht="16.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ht="16.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ht="16.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ht="16.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ht="16.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ht="16.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ht="16.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ht="16.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ht="16.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ht="16.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ht="16.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ht="16.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ht="16.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ht="16.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ht="16.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ht="16.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ht="16.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ht="16.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ht="16.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ht="16.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ht="16.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ht="16.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ht="16.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ht="16.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ht="16.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ht="16.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ht="16.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ht="16.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ht="16.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ht="16.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ht="16.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ht="16.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ht="16.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ht="16.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ht="16.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ht="16.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ht="16.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ht="16.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ht="16.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ht="16.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ht="16.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ht="16.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ht="16.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ht="16.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ht="16.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ht="16.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ht="16.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ht="16.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ht="16.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ht="16.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ht="16.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ht="16.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ht="16.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ht="16.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ht="16.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ht="16.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ht="16.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ht="16.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ht="16.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ht="16.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ht="16.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ht="16.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ht="16.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ht="16.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ht="16.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ht="16.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ht="16.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ht="16.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ht="16.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ht="16.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ht="16.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ht="16.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ht="16.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ht="16.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ht="16.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ht="16.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ht="16.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ht="16.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ht="16.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ht="16.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ht="16.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ht="16.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ht="16.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ht="16.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ht="16.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ht="16.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ht="16.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ht="16.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ht="16.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ht="16.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ht="16.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ht="16.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ht="16.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ht="16.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ht="16.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ht="16.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ht="16.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ht="16.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ht="16.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ht="16.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ht="16.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ht="16.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ht="16.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ht="16.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ht="16.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ht="16.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ht="16.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ht="16.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ht="16.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ht="16.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ht="16.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ht="16.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ht="16.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ht="16.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ht="16.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ht="16.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ht="16.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ht="16.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ht="16.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ht="16.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ht="16.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ht="16.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ht="16.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ht="16.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ht="16.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ht="16.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ht="16.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ht="16.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ht="16.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ht="16.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ht="16.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ht="16.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ht="16.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ht="16.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ht="16.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ht="16.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ht="16.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ht="16.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ht="16.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ht="16.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ht="16.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ht="16.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ht="16.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ht="16.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ht="16.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ht="16.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ht="16.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ht="16.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ht="16.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ht="16.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ht="16.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ht="16.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ht="16.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ht="16.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ht="16.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ht="16.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ht="16.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ht="16.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ht="16.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ht="16.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ht="16.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ht="16.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ht="16.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ht="16.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ht="16.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ht="16.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ht="16.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ht="16.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ht="16.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ht="16.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ht="16.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ht="16.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ht="16.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ht="16.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ht="16.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ht="16.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ht="16.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ht="16.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ht="16.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ht="16.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ht="16.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ht="16.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ht="16.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ht="16.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ht="16.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ht="16.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ht="16.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ht="16.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ht="16.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 ht="16.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 ht="16.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 ht="16.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 ht="16.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 ht="16.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spans="1:34" ht="16.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spans="1:34" ht="16.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spans="1:34" ht="16.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 spans="1:34" ht="16.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 spans="1:34" ht="16.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 spans="1:34" ht="16.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 spans="1:34" ht="16.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 spans="1:34" ht="16.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 spans="1:34" ht="16.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 spans="1:34" ht="16.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 spans="1:34" ht="16.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 spans="1:34" ht="16.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 spans="1:34" ht="16.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 spans="1:34" ht="16.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 spans="1:34" ht="16.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 spans="1:34" ht="16.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 spans="1:34" ht="16.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 spans="1:34" ht="16.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 spans="1:34" ht="16.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spans="1:34" ht="16.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spans="1:34" ht="16.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 spans="1:34" ht="16.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 spans="1:34" ht="16.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 spans="1:34" ht="16.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 spans="1:34" ht="16.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 spans="1:34" ht="16.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 spans="1:34" ht="16.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 spans="1:34" ht="16.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 spans="1:34" ht="16.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 spans="1:34" ht="16.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 spans="1:34" ht="16.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 spans="1:34" ht="16.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 spans="1:34" ht="16.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 spans="1:34" ht="16.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 spans="1:34" ht="16.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  <row r="391" spans="1:34" ht="16.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</row>
    <row r="392" spans="1:34" ht="16.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</row>
    <row r="393" spans="1:34" ht="16.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</row>
    <row r="394" spans="1:34" ht="16.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</row>
    <row r="395" spans="1:34" ht="16.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</row>
    <row r="396" spans="1:34" ht="16.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</row>
    <row r="397" spans="1:34" ht="16.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</row>
    <row r="398" spans="1:34" ht="16.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</row>
    <row r="399" spans="1:34" ht="16.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</row>
    <row r="400" spans="1:34" ht="16.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</row>
    <row r="401" spans="1:34" ht="16.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</row>
    <row r="402" spans="1:34" ht="16.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</row>
    <row r="403" spans="1:34" ht="16.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</row>
    <row r="404" spans="1:34" ht="16.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</row>
    <row r="405" spans="1:34" ht="16.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</row>
    <row r="406" spans="1:34" ht="16.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</row>
    <row r="407" spans="1:34" ht="16.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</row>
    <row r="408" spans="1:34" ht="16.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</row>
    <row r="409" spans="1:34" ht="16.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</row>
    <row r="410" spans="1:34" ht="16.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</row>
    <row r="411" spans="1:34" ht="16.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</row>
    <row r="412" spans="1:34" ht="16.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</row>
    <row r="413" spans="1:34" ht="16.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</row>
    <row r="414" spans="1:34" ht="16.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</row>
    <row r="415" spans="1:34" ht="16.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</row>
    <row r="416" spans="1:34" ht="16.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</row>
    <row r="417" spans="1:34" ht="16.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</row>
    <row r="418" spans="1:34" ht="16.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</row>
    <row r="419" spans="1:34" ht="16.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</row>
    <row r="420" spans="1:34" ht="16.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</row>
    <row r="421" spans="1:34" ht="16.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</row>
    <row r="422" spans="1:34" ht="16.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</row>
    <row r="423" spans="1:34" ht="16.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</row>
    <row r="424" spans="1:34" ht="16.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</row>
    <row r="425" spans="1:34" ht="16.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</row>
    <row r="426" spans="1:34" ht="16.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</row>
    <row r="427" spans="1:34" ht="16.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</row>
    <row r="428" spans="1:34" ht="16.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</row>
    <row r="429" spans="1:34" ht="16.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</row>
    <row r="430" spans="1:34" ht="16.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</row>
    <row r="431" spans="1:34" ht="16.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</row>
    <row r="432" spans="1:34" ht="16.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</row>
    <row r="433" spans="1:34" ht="16.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</row>
    <row r="434" spans="1:34" ht="16.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</row>
    <row r="435" spans="1:34" ht="16.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</row>
    <row r="436" spans="1:34" ht="16.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</row>
    <row r="437" spans="1:34" ht="16.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</row>
    <row r="438" spans="1:34" ht="16.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</row>
    <row r="439" spans="1:34" ht="16.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</row>
    <row r="440" spans="1:34" ht="16.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</row>
    <row r="441" spans="1:34" ht="16.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</row>
    <row r="442" spans="1:34" ht="16.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</row>
    <row r="443" spans="1:34" ht="16.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</row>
    <row r="444" spans="1:34" ht="16.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</row>
    <row r="445" spans="1:34" ht="16.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</row>
    <row r="446" spans="1:34" ht="16.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</row>
    <row r="447" spans="1:34" ht="16.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</row>
    <row r="448" spans="1:34" ht="16.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</row>
    <row r="449" spans="1:34" ht="16.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</row>
    <row r="450" spans="1:34" ht="16.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</row>
    <row r="451" spans="1:34" ht="16.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</row>
    <row r="452" spans="1:34" ht="16.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</row>
    <row r="453" spans="1:34" ht="16.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</row>
    <row r="454" spans="1:34" ht="16.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</row>
    <row r="455" spans="1:34" ht="16.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</row>
    <row r="456" spans="1:34" ht="16.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</row>
    <row r="457" spans="1:34" ht="16.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</row>
    <row r="458" spans="1:34" ht="16.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</row>
    <row r="459" spans="1:34" ht="16.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</row>
    <row r="460" spans="1:34" ht="16.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</row>
    <row r="461" spans="1:34" ht="16.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</row>
    <row r="462" spans="1:34" ht="16.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</row>
    <row r="463" spans="1:34" ht="16.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</row>
    <row r="464" spans="1:34" ht="16.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</row>
    <row r="465" spans="1:34" ht="16.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</row>
    <row r="466" spans="1:34" ht="16.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</row>
    <row r="467" spans="1:34" ht="16.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</row>
    <row r="468" spans="1:34" ht="16.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</row>
    <row r="469" spans="1:34" ht="16.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</row>
    <row r="470" spans="1:34" ht="16.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</row>
    <row r="471" spans="1:34" ht="16.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</row>
    <row r="472" spans="1:34" ht="16.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</row>
    <row r="473" spans="1:34" ht="16.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</row>
    <row r="474" spans="1:34" ht="16.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</row>
    <row r="475" spans="1:34" ht="16.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</row>
    <row r="476" spans="1:34" ht="16.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</row>
    <row r="477" spans="1:34" ht="16.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</row>
    <row r="478" spans="1:34" ht="16.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</row>
    <row r="479" spans="1:34" ht="16.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</row>
    <row r="480" spans="1:34" ht="16.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</row>
    <row r="481" spans="1:34" ht="16.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</row>
    <row r="482" spans="1:34" ht="16.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</row>
    <row r="483" spans="1:34" ht="16.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</row>
    <row r="484" spans="1:34" ht="16.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</row>
    <row r="485" spans="1:34" ht="16.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</row>
    <row r="486" spans="1:34" ht="16.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</row>
    <row r="487" spans="1:34" ht="16.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</row>
    <row r="488" spans="1:34" ht="16.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</row>
    <row r="489" spans="1:34" ht="16.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</row>
    <row r="490" spans="1:34" ht="16.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</row>
    <row r="491" spans="1:34" ht="16.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</row>
    <row r="492" spans="1:34" ht="16.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</row>
    <row r="493" spans="1:34" ht="16.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</row>
    <row r="494" spans="1:34" ht="16.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</row>
    <row r="495" spans="1:34" ht="16.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</row>
    <row r="496" spans="1:34" ht="16.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</row>
    <row r="497" spans="1:34" ht="16.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</row>
    <row r="498" spans="1:34" ht="16.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</row>
    <row r="499" spans="1:34" ht="16.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</row>
    <row r="500" spans="1:34" ht="16.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</row>
    <row r="501" spans="1:34" ht="16.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</row>
    <row r="502" spans="1:34" ht="16.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</row>
    <row r="503" spans="1:34" ht="16.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</row>
    <row r="504" spans="1:34" ht="16.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</row>
    <row r="505" spans="1:34" ht="16.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</row>
    <row r="506" spans="1:34" ht="16.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</row>
    <row r="507" spans="1:34" ht="16.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</row>
    <row r="508" spans="1:34" ht="16.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</row>
    <row r="509" spans="1:34" ht="16.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</row>
    <row r="510" spans="1:34" ht="16.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</row>
    <row r="511" spans="1:34" ht="16.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</row>
    <row r="512" spans="1:34" ht="16.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</row>
    <row r="513" spans="1:34" ht="16.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</row>
    <row r="514" spans="1:34" ht="16.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</row>
    <row r="515" spans="1:34" ht="16.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</row>
    <row r="516" spans="1:34" ht="16.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</row>
    <row r="517" spans="1:34" ht="16.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</row>
    <row r="518" spans="1:34" ht="16.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</row>
    <row r="519" spans="1:34" ht="16.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</row>
    <row r="520" spans="1:34" ht="16.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</row>
    <row r="521" spans="1:34" ht="16.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</row>
    <row r="522" spans="1:34" ht="16.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</row>
    <row r="523" spans="1:34" ht="16.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</row>
    <row r="524" spans="1:34" ht="16.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</row>
    <row r="525" spans="1:34" ht="16.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</row>
    <row r="526" spans="1:34" ht="16.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</row>
    <row r="527" spans="1:34" ht="16.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</row>
    <row r="528" spans="1:34" ht="16.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</row>
    <row r="529" spans="1:34" ht="16.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</row>
    <row r="530" spans="1:34" ht="16.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</row>
    <row r="531" spans="1:34" ht="16.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</row>
    <row r="532" spans="1:34" ht="16.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</row>
    <row r="533" spans="1:34" ht="16.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</row>
    <row r="534" spans="1:34" ht="16.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</row>
    <row r="535" spans="1:34" ht="16.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</row>
    <row r="536" spans="1:34" ht="16.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</row>
    <row r="537" spans="1:34" ht="16.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</row>
    <row r="538" spans="1:34" ht="16.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</row>
    <row r="539" spans="1:34" ht="16.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</row>
    <row r="540" spans="1:34" ht="16.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</row>
    <row r="541" spans="1:34" ht="16.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</row>
    <row r="542" spans="1:34" ht="16.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</row>
    <row r="543" spans="1:34" ht="16.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</row>
    <row r="544" spans="1:34" ht="16.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</row>
    <row r="545" spans="1:34" ht="16.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</row>
    <row r="546" spans="1:34" ht="16.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</row>
    <row r="547" spans="1:34" ht="16.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</row>
    <row r="548" spans="1:34" ht="16.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</row>
    <row r="549" spans="1:34" ht="16.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</row>
    <row r="550" spans="1:34" ht="16.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</row>
    <row r="551" spans="1:34" ht="16.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</row>
    <row r="552" spans="1:34" ht="16.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</row>
    <row r="553" spans="1:34" ht="16.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</row>
    <row r="554" spans="1:34" ht="16.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</row>
    <row r="555" spans="1:34" ht="16.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</row>
    <row r="556" spans="1:34" ht="16.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</row>
    <row r="557" spans="1:34" ht="16.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</row>
    <row r="558" spans="1:34" ht="16.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</row>
    <row r="559" spans="1:34" ht="16.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</row>
    <row r="560" spans="1:34" ht="16.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</row>
    <row r="561" spans="1:34" ht="16.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</row>
    <row r="562" spans="1:34" ht="16.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</row>
    <row r="563" spans="1:34" ht="16.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</row>
    <row r="564" spans="1:34" ht="16.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</row>
    <row r="565" spans="1:34" ht="16.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</row>
    <row r="566" spans="1:34" ht="16.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</row>
    <row r="567" spans="1:34" ht="16.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</row>
    <row r="568" spans="1:34" ht="16.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</row>
    <row r="569" spans="1:34" ht="16.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</row>
    <row r="570" spans="1:34" ht="16.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</row>
    <row r="571" spans="1:34" ht="16.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</row>
    <row r="572" spans="1:34" ht="16.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</row>
    <row r="573" spans="1:34" ht="16.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</row>
    <row r="574" spans="1:34" ht="16.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</row>
    <row r="575" spans="1:34" ht="16.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</row>
    <row r="576" spans="1:34" ht="16.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</row>
    <row r="577" spans="1:34" ht="16.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</row>
    <row r="578" spans="1:34" ht="16.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</row>
    <row r="579" spans="1:34" ht="16.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</row>
    <row r="580" spans="1:34" ht="16.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</row>
    <row r="581" spans="1:34" ht="16.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</row>
    <row r="582" spans="1:34" ht="16.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</row>
    <row r="583" spans="1:34" ht="16.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</row>
    <row r="584" spans="1:34" ht="16.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</row>
    <row r="585" spans="1:34" ht="16.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</row>
    <row r="586" spans="1:34" ht="16.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</row>
    <row r="587" spans="1:34" ht="16.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</row>
    <row r="588" spans="1:34" ht="16.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</row>
    <row r="589" spans="1:34" ht="16.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</row>
    <row r="590" spans="1:34" ht="16.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</row>
    <row r="591" spans="1:34" ht="16.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</row>
    <row r="592" spans="1:34" ht="16.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</row>
    <row r="593" spans="1:34" ht="16.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</row>
    <row r="594" spans="1:34" ht="16.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</row>
    <row r="595" spans="1:34" ht="16.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</row>
    <row r="596" spans="1:34" ht="16.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</row>
    <row r="597" spans="1:34" ht="16.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</row>
    <row r="598" spans="1:34" ht="16.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</row>
    <row r="599" spans="1:34" ht="16.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</row>
    <row r="600" spans="1:34" ht="16.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</row>
    <row r="601" spans="1:34" ht="16.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</row>
    <row r="602" spans="1:34" ht="16.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</row>
    <row r="603" spans="1:34" ht="16.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</row>
    <row r="604" spans="1:34" ht="16.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</row>
    <row r="605" spans="1:34" ht="16.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</row>
    <row r="606" spans="1:34" ht="16.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</row>
    <row r="607" spans="1:34" ht="16.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</row>
    <row r="608" spans="1:34" ht="16.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</row>
    <row r="609" spans="1:34" ht="16.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</row>
    <row r="610" spans="1:34" ht="16.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</row>
    <row r="611" spans="1:34" ht="16.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</row>
    <row r="612" spans="1:34" ht="16.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</row>
    <row r="613" spans="1:34" ht="16.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</row>
    <row r="614" spans="1:34" ht="16.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</row>
    <row r="615" spans="1:34" ht="16.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</row>
    <row r="616" spans="1:34" ht="16.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</row>
    <row r="617" spans="1:34" ht="16.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</row>
    <row r="618" spans="1:34" ht="16.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</row>
    <row r="619" spans="1:34" ht="16.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</row>
    <row r="620" spans="1:34" ht="16.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</row>
    <row r="621" spans="1:34" ht="16.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</row>
    <row r="622" spans="1:34" ht="16.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</row>
    <row r="623" spans="1:34" ht="16.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</row>
    <row r="624" spans="1:34" ht="16.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</row>
    <row r="625" spans="1:34" ht="16.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</row>
    <row r="626" spans="1:34" ht="16.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</row>
    <row r="627" spans="1:34" ht="16.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</row>
    <row r="628" spans="1:34" ht="16.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</row>
    <row r="629" spans="1:34" ht="16.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</row>
    <row r="630" spans="1:34" ht="16.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</row>
    <row r="631" spans="1:34" ht="16.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</row>
    <row r="632" spans="1:34" ht="16.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</row>
    <row r="633" spans="1:34" ht="16.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</row>
    <row r="634" spans="1:34" ht="16.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</row>
    <row r="635" spans="1:34" ht="16.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</row>
    <row r="636" spans="1:34" ht="16.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</row>
    <row r="637" spans="1:34" ht="16.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</row>
    <row r="638" spans="1:34" ht="16.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</row>
    <row r="639" spans="1:34" ht="16.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</row>
    <row r="640" spans="1:34" ht="16.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</row>
    <row r="641" spans="1:34" ht="16.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</row>
    <row r="642" spans="1:34" ht="16.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</row>
    <row r="643" spans="1:34" ht="16.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</row>
    <row r="644" spans="1:34" ht="16.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</row>
    <row r="645" spans="1:34" ht="16.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</row>
    <row r="646" spans="1:34" ht="16.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</row>
    <row r="647" spans="1:34" ht="16.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</row>
    <row r="648" spans="1:34" ht="16.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</row>
    <row r="649" spans="1:34" ht="16.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</row>
    <row r="650" spans="1:34" ht="16.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</row>
    <row r="651" spans="1:34" ht="16.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</row>
    <row r="652" spans="1:34" ht="16.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</row>
    <row r="653" spans="1:34" ht="16.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</row>
    <row r="654" spans="1:34" ht="16.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</row>
    <row r="655" spans="1:34" ht="16.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</row>
    <row r="656" spans="1:34" ht="16.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</row>
    <row r="657" spans="1:34" ht="16.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</row>
    <row r="658" spans="1:34" ht="16.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</row>
    <row r="659" spans="1:34" ht="16.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</row>
    <row r="660" spans="1:34" ht="16.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</row>
    <row r="661" spans="1:34" ht="16.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</row>
    <row r="662" spans="1:34" ht="16.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</row>
    <row r="663" spans="1:34" ht="16.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</row>
    <row r="664" spans="1:34" ht="16.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</row>
    <row r="665" spans="1:34" ht="16.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</row>
    <row r="666" spans="1:34" ht="16.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</row>
    <row r="667" spans="1:34" ht="16.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</row>
    <row r="668" spans="1:34" ht="16.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</row>
    <row r="669" spans="1:34" ht="16.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</row>
    <row r="670" spans="1:34" ht="16.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</row>
    <row r="671" spans="1:34" ht="16.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</row>
    <row r="672" spans="1:34" ht="16.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</row>
    <row r="673" spans="1:34" ht="16.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</row>
    <row r="674" spans="1:34" ht="16.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</row>
    <row r="675" spans="1:34" ht="16.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</row>
    <row r="676" spans="1:34" ht="16.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</row>
    <row r="677" spans="1:34" ht="16.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</row>
    <row r="678" spans="1:34" ht="16.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</row>
    <row r="679" spans="1:34" ht="16.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</row>
    <row r="680" spans="1:34" ht="16.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</row>
    <row r="681" spans="1:34" ht="16.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</row>
    <row r="682" spans="1:34" ht="16.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</row>
    <row r="683" spans="1:34" ht="16.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</row>
    <row r="684" spans="1:34" ht="16.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</row>
    <row r="685" spans="1:34" ht="16.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</row>
    <row r="686" spans="1:34" ht="16.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</row>
    <row r="687" spans="1:34" ht="16.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</row>
    <row r="688" spans="1:34" ht="16.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</row>
    <row r="689" spans="1:34" ht="16.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</row>
    <row r="690" spans="1:34" ht="16.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</row>
    <row r="691" spans="1:34" ht="16.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</row>
    <row r="692" spans="1:34" ht="16.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</row>
    <row r="693" spans="1:34" ht="16.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</row>
    <row r="694" spans="1:34" ht="16.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</row>
    <row r="695" spans="1:34" ht="16.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</row>
    <row r="696" spans="1:34" ht="16.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</row>
    <row r="697" spans="1:34" ht="16.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</row>
    <row r="698" spans="1:34" ht="16.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</row>
    <row r="699" spans="1:34" ht="16.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</row>
    <row r="700" spans="1:34" ht="16.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</row>
    <row r="701" spans="1:34" ht="16.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</row>
    <row r="702" spans="1:34" ht="16.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</row>
    <row r="703" spans="1:34" ht="16.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</row>
    <row r="704" spans="1:34" ht="16.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</row>
    <row r="705" spans="1:34" ht="16.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</row>
    <row r="706" spans="1:34" ht="16.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</row>
    <row r="707" spans="1:34" ht="16.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</row>
    <row r="708" spans="1:34" ht="16.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</row>
    <row r="709" spans="1:34" ht="16.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</row>
    <row r="710" spans="1:34" ht="16.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</row>
    <row r="711" spans="1:34" ht="16.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</row>
    <row r="712" spans="1:34" ht="16.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</row>
    <row r="713" spans="1:34" ht="16.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</row>
    <row r="714" spans="1:34" ht="16.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</row>
    <row r="715" spans="1:34" ht="16.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</row>
    <row r="716" spans="1:34" ht="16.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</row>
    <row r="717" spans="1:34" ht="16.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</row>
    <row r="718" spans="1:34" ht="16.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</row>
    <row r="719" spans="1:34" ht="16.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</row>
    <row r="720" spans="1:34" ht="16.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</row>
    <row r="721" spans="1:34" ht="16.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</row>
    <row r="722" spans="1:34" ht="16.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</row>
    <row r="723" spans="1:34" ht="16.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</row>
    <row r="724" spans="1:34" ht="16.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</row>
    <row r="725" spans="1:34" ht="16.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</row>
    <row r="726" spans="1:34" ht="16.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</row>
    <row r="727" spans="1:34" ht="16.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</row>
    <row r="728" spans="1:34" ht="16.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</row>
    <row r="729" spans="1:34" ht="16.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</row>
    <row r="730" spans="1:34" ht="16.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</row>
    <row r="731" spans="1:34" ht="16.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</row>
    <row r="732" spans="1:34" ht="16.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</row>
    <row r="733" spans="1:34" ht="16.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</row>
    <row r="734" spans="1:34" ht="16.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</row>
    <row r="735" spans="1:34" ht="16.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</row>
    <row r="736" spans="1:34" ht="16.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</row>
    <row r="737" spans="1:34" ht="16.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</row>
    <row r="738" spans="1:34" ht="16.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</row>
    <row r="739" spans="1:34" ht="16.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</row>
    <row r="740" spans="1:34" ht="16.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</row>
    <row r="741" spans="1:34" ht="16.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</row>
    <row r="742" spans="1:34" ht="16.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</row>
    <row r="743" spans="1:34" ht="16.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</row>
    <row r="744" spans="1:34" ht="16.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</row>
    <row r="745" spans="1:34" ht="16.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</row>
    <row r="746" spans="1:34" ht="16.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</row>
    <row r="747" spans="1:34" ht="16.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</row>
    <row r="748" spans="1:34" ht="16.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</row>
    <row r="749" spans="1:34" ht="16.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</row>
    <row r="750" spans="1:34" ht="16.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</row>
    <row r="751" spans="1:34" ht="16.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</row>
    <row r="752" spans="1:34" ht="16.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</row>
    <row r="753" spans="1:34" ht="16.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</row>
    <row r="754" spans="1:34" ht="16.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</row>
    <row r="755" spans="1:34" ht="16.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</row>
    <row r="756" spans="1:34" ht="16.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</row>
    <row r="757" spans="1:34" ht="16.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</row>
    <row r="758" spans="1:34" ht="16.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</row>
    <row r="759" spans="1:34" ht="16.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</row>
    <row r="760" spans="1:34" ht="16.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</row>
    <row r="761" spans="1:34" ht="16.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</row>
    <row r="762" spans="1:34" ht="16.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</row>
    <row r="763" spans="1:34" ht="16.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</row>
    <row r="764" spans="1:34" ht="16.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</row>
    <row r="765" spans="1:34" ht="16.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</row>
    <row r="766" spans="1:34" ht="16.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</row>
    <row r="767" spans="1:34" ht="16.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</row>
    <row r="768" spans="1:34" ht="16.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</row>
    <row r="769" spans="1:34" ht="16.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</row>
    <row r="770" spans="1:34" ht="16.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</row>
    <row r="771" spans="1:34" ht="16.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</row>
    <row r="772" spans="1:34" ht="16.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</row>
    <row r="773" spans="1:34" ht="16.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</row>
    <row r="774" spans="1:34" ht="16.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</row>
    <row r="775" spans="1:34" ht="16.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</row>
    <row r="776" spans="1:34" ht="16.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</row>
    <row r="777" spans="1:34" ht="16.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</row>
    <row r="778" spans="1:34" ht="16.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</row>
    <row r="779" spans="1:34" ht="16.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</row>
    <row r="780" spans="1:34" ht="16.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</row>
    <row r="781" spans="1:34" ht="16.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</row>
    <row r="782" spans="1:34" ht="16.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</row>
    <row r="783" spans="1:34" ht="16.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</row>
    <row r="784" spans="1:34" ht="16.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</row>
    <row r="785" spans="1:34" ht="16.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</row>
    <row r="786" spans="1:34" ht="16.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</row>
    <row r="787" spans="1:34" ht="16.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</row>
    <row r="788" spans="1:34" ht="16.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</row>
    <row r="789" spans="1:34" ht="16.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</row>
    <row r="790" spans="1:34" ht="16.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</row>
    <row r="791" spans="1:34" ht="16.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</row>
    <row r="792" spans="1:34" ht="16.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</row>
    <row r="793" spans="1:34" ht="16.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</row>
    <row r="794" spans="1:34" ht="16.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</row>
    <row r="795" spans="1:34" ht="16.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</row>
    <row r="796" spans="1:34" ht="16.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</row>
    <row r="797" spans="1:34" ht="16.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</row>
    <row r="798" spans="1:34" ht="16.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</row>
    <row r="799" spans="1:34" ht="16.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</row>
    <row r="800" spans="1:34" ht="16.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</row>
    <row r="801" spans="1:34" ht="16.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</row>
    <row r="802" spans="1:34" ht="16.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</row>
    <row r="803" spans="1:34" ht="16.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</row>
    <row r="804" spans="1:34" ht="16.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</row>
    <row r="805" spans="1:34" ht="16.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</row>
    <row r="806" spans="1:34" ht="16.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</row>
    <row r="807" spans="1:34" ht="16.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</row>
    <row r="808" spans="1:34" ht="16.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</row>
    <row r="809" spans="1:34" ht="16.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</row>
    <row r="810" spans="1:34" ht="16.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</row>
    <row r="811" spans="1:34" ht="16.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</row>
    <row r="812" spans="1:34" ht="16.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</row>
    <row r="813" spans="1:34" ht="16.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</row>
    <row r="814" spans="1:34" ht="16.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</row>
    <row r="815" spans="1:34" ht="16.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</row>
    <row r="816" spans="1:34" ht="16.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</row>
    <row r="817" spans="1:34" ht="16.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</row>
    <row r="818" spans="1:34" ht="16.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</row>
    <row r="819" spans="1:34" ht="16.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</row>
    <row r="820" spans="1:34" ht="16.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</row>
    <row r="821" spans="1:34" ht="16.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</row>
    <row r="822" spans="1:34" ht="16.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</row>
    <row r="823" spans="1:34" ht="16.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</row>
    <row r="824" spans="1:34" ht="16.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</row>
    <row r="825" spans="1:34" ht="16.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</row>
    <row r="826" spans="1:34" ht="16.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</row>
    <row r="827" spans="1:34" ht="16.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</row>
    <row r="828" spans="1:34" ht="16.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</row>
    <row r="829" spans="1:34" ht="16.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</row>
    <row r="830" spans="1:34" ht="16.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</row>
    <row r="831" spans="1:34" ht="16.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</row>
    <row r="832" spans="1:34" ht="16.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</row>
    <row r="833" spans="1:34" ht="16.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</row>
    <row r="834" spans="1:34" ht="16.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</row>
    <row r="835" spans="1:34" ht="16.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</row>
    <row r="836" spans="1:34" ht="16.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</row>
    <row r="837" spans="1:34" ht="16.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</row>
    <row r="838" spans="1:34" ht="16.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</row>
    <row r="839" spans="1:34" ht="16.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</row>
    <row r="840" spans="1:34" ht="16.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</row>
    <row r="841" spans="1:34" ht="16.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</row>
    <row r="842" spans="1:34" ht="16.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</row>
    <row r="843" spans="1:34" ht="16.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</row>
    <row r="844" spans="1:34" ht="16.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</row>
    <row r="845" spans="1:34" ht="16.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</row>
    <row r="846" spans="1:34" ht="16.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</row>
    <row r="847" spans="1:34" ht="16.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</row>
    <row r="848" spans="1:34" ht="16.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</row>
    <row r="849" spans="1:34" ht="16.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</row>
    <row r="850" spans="1:34" ht="16.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</row>
    <row r="851" spans="1:34" ht="16.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</row>
    <row r="852" spans="1:34" ht="16.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</row>
    <row r="853" spans="1:34" ht="16.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</row>
    <row r="854" spans="1:34" ht="16.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</row>
    <row r="855" spans="1:34" ht="16.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</row>
    <row r="856" spans="1:34" ht="16.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</row>
    <row r="857" spans="1:34" ht="16.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</row>
    <row r="858" spans="1:34" ht="16.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</row>
    <row r="859" spans="1:34" ht="16.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</row>
    <row r="860" spans="1:34" ht="16.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</row>
    <row r="861" spans="1:34" ht="16.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</row>
    <row r="862" spans="1:34" ht="16.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</row>
    <row r="863" spans="1:34" ht="16.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</row>
    <row r="864" spans="1:34" ht="16.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</row>
    <row r="865" spans="1:34" ht="16.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</row>
    <row r="866" spans="1:34" ht="16.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</row>
    <row r="867" spans="1:34" ht="16.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</row>
    <row r="868" spans="1:34" ht="16.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</row>
    <row r="869" spans="1:34" ht="16.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</row>
    <row r="870" spans="1:34" ht="16.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</row>
    <row r="871" spans="1:34" ht="16.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</row>
    <row r="872" spans="1:34" ht="16.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</row>
    <row r="873" spans="1:34" ht="16.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</row>
    <row r="874" spans="1:34" ht="16.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</row>
    <row r="875" spans="1:34" ht="16.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</row>
    <row r="876" spans="1:34" ht="16.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</row>
    <row r="877" spans="1:34" ht="16.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</row>
    <row r="878" spans="1:34" ht="16.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</row>
    <row r="879" spans="1:34" ht="16.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</row>
    <row r="880" spans="1:34" ht="16.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</row>
    <row r="881" spans="1:34" ht="16.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</row>
    <row r="882" spans="1:34" ht="16.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</row>
    <row r="883" spans="1:34" ht="16.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</row>
    <row r="884" spans="1:34" ht="16.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</row>
    <row r="885" spans="1:34" ht="16.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</row>
    <row r="886" spans="1:34" ht="16.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</row>
    <row r="887" spans="1:34" ht="16.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</row>
    <row r="888" spans="1:34" ht="16.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</row>
    <row r="889" spans="1:34" ht="16.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</row>
    <row r="890" spans="1:34" ht="16.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</row>
    <row r="891" spans="1:34" ht="16.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</row>
    <row r="892" spans="1:34" ht="16.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</row>
    <row r="893" spans="1:34" ht="16.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</row>
    <row r="894" spans="1:34" ht="16.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</row>
    <row r="895" spans="1:34" ht="16.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</row>
    <row r="896" spans="1:34" ht="16.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</row>
    <row r="897" spans="1:34" ht="16.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</row>
    <row r="898" spans="1:34" ht="16.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</row>
    <row r="899" spans="1:34" ht="16.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</row>
    <row r="900" spans="1:34" ht="16.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</row>
    <row r="901" spans="1:34" ht="16.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</row>
    <row r="902" spans="1:34" ht="16.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</row>
    <row r="903" spans="1:34" ht="16.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</row>
    <row r="904" spans="1:34" ht="16.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</row>
    <row r="905" spans="1:34" ht="16.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</row>
    <row r="906" spans="1:34" ht="16.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</row>
    <row r="907" spans="1:34" ht="16.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</row>
    <row r="908" spans="1:34" ht="16.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</row>
    <row r="909" spans="1:34" ht="16.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</row>
    <row r="910" spans="1:34" ht="16.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</row>
    <row r="911" spans="1:34" ht="16.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</row>
    <row r="912" spans="1:34" ht="16.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</row>
    <row r="913" spans="1:34" ht="16.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</row>
    <row r="914" spans="1:34" ht="16.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</row>
    <row r="915" spans="1:34" ht="16.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</row>
    <row r="916" spans="1:34" ht="16.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</row>
    <row r="917" spans="1:34" ht="16.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</row>
    <row r="918" spans="1:34" ht="16.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</row>
    <row r="919" spans="1:34" ht="16.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</row>
    <row r="920" spans="1:34" ht="16.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</row>
    <row r="921" spans="1:34" ht="16.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</row>
    <row r="922" spans="1:34" ht="16.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</row>
    <row r="923" spans="1:34" ht="16.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</row>
    <row r="924" spans="1:34" ht="16.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</row>
    <row r="925" spans="1:34" ht="16.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</row>
    <row r="926" spans="1:34" ht="16.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</row>
    <row r="927" spans="1:34" ht="16.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</row>
    <row r="928" spans="1:34" ht="16.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</row>
    <row r="929" spans="1:34" ht="16.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</row>
    <row r="930" spans="1:34" ht="16.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</row>
    <row r="931" spans="1:34" ht="16.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</row>
    <row r="932" spans="1:34" ht="16.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</row>
    <row r="933" spans="1:34" ht="16.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</row>
    <row r="934" spans="1:34" ht="16.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</row>
    <row r="935" spans="1:34" ht="16.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</row>
    <row r="936" spans="1:34" ht="16.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</row>
    <row r="937" spans="1:34" ht="16.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</row>
    <row r="938" spans="1:34" ht="16.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</row>
    <row r="939" spans="1:34" ht="16.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</row>
    <row r="940" spans="1:34" ht="16.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</row>
    <row r="941" spans="1:34" ht="16.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</row>
    <row r="942" spans="1:34" ht="16.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</row>
    <row r="943" spans="1:34" ht="16.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</row>
    <row r="944" spans="1:34" ht="16.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</row>
    <row r="945" spans="1:34" ht="16.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</row>
    <row r="946" spans="1:34" ht="16.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</row>
    <row r="947" spans="1:34" ht="16.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</row>
    <row r="948" spans="1:34" ht="16.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</row>
    <row r="949" spans="1:34" ht="16.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</row>
    <row r="950" spans="1:34" ht="16.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</row>
    <row r="951" spans="1:34" ht="16.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</row>
    <row r="952" spans="1:34" ht="16.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</row>
    <row r="953" spans="1:34" ht="16.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</row>
    <row r="954" spans="1:34" ht="16.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</row>
    <row r="955" spans="1:34" ht="16.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</row>
    <row r="956" spans="1:34" ht="16.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</row>
    <row r="957" spans="1:34" ht="16.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</row>
    <row r="958" spans="1:34" ht="16.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</row>
    <row r="959" spans="1:34" ht="16.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</row>
    <row r="960" spans="1:34" ht="16.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</row>
    <row r="961" spans="1:34" ht="16.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</row>
    <row r="962" spans="1:34" ht="16.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</row>
    <row r="963" spans="1:34" ht="16.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</row>
    <row r="964" spans="1:34" ht="16.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</row>
    <row r="965" spans="1:34" ht="16.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</row>
    <row r="966" spans="1:34" ht="16.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</row>
    <row r="967" spans="1:34" ht="16.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</row>
    <row r="968" spans="1:34" ht="16.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</row>
    <row r="969" spans="1:34" ht="16.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</row>
    <row r="970" spans="1:34" ht="16.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</row>
    <row r="971" spans="1:34" ht="16.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</row>
    <row r="972" spans="1:34" ht="16.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</row>
    <row r="973" spans="1:34" ht="16.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</row>
    <row r="974" spans="1:34" ht="16.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</row>
    <row r="975" spans="1:34" ht="16.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</row>
    <row r="976" spans="1:34" ht="16.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</row>
    <row r="977" spans="1:34" ht="16.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</row>
    <row r="978" spans="1:34" ht="16.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</row>
    <row r="979" spans="1:34" ht="16.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</row>
    <row r="980" spans="1:34" ht="16.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</row>
    <row r="981" spans="1:34" ht="16.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</row>
    <row r="982" spans="1:34" ht="16.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</row>
    <row r="983" spans="1:34" ht="16.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</row>
    <row r="984" spans="1:34" ht="16.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</row>
    <row r="985" spans="1:34" ht="16.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</row>
    <row r="986" spans="1:34" ht="16.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</row>
    <row r="987" spans="1:34" ht="16.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</row>
    <row r="988" spans="1:34" ht="16.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</row>
    <row r="989" spans="1:34" ht="16.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</row>
    <row r="990" spans="1:34" ht="16.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</row>
    <row r="991" spans="1:34" ht="16.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</row>
    <row r="992" spans="1:34" ht="16.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</row>
    <row r="993" spans="1:34" ht="16.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</row>
    <row r="994" spans="1:34" ht="16.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</row>
    <row r="995" spans="1:34" ht="16.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</row>
    <row r="996" spans="1:34" ht="16.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</row>
    <row r="997" spans="1:34" ht="16.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</row>
    <row r="998" spans="1:34" ht="16.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</row>
    <row r="999" spans="1:34" ht="16.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</row>
    <row r="1000" spans="1:34" ht="16.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</row>
  </sheetData>
  <mergeCells count="2">
    <mergeCell ref="A1:F1"/>
    <mergeCell ref="N114:R114"/>
  </mergeCells>
  <pageMargins left="0.15748031496062992" right="0.27559055118110237" top="0.51181102362204722" bottom="0.43307086614173229" header="0" footer="0"/>
  <pageSetup paperSize="9" orientation="landscape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EF3D9-DD2A-48EA-9708-E03EA9DCC9A5}">
  <sheetPr>
    <tabColor rgb="FF408046"/>
  </sheetPr>
  <dimension ref="A1:IS150"/>
  <sheetViews>
    <sheetView zoomScale="126" zoomScaleNormal="126" workbookViewId="0">
      <selection activeCell="A11" sqref="A11"/>
    </sheetView>
  </sheetViews>
  <sheetFormatPr defaultColWidth="9.140625" defaultRowHeight="16.5" x14ac:dyDescent="0.3"/>
  <cols>
    <col min="1" max="1" width="3.85546875" style="157" customWidth="1"/>
    <col min="2" max="2" width="8.7109375" style="157" customWidth="1"/>
    <col min="3" max="3" width="41.5703125" style="157" customWidth="1"/>
    <col min="4" max="4" width="7.7109375" style="157" customWidth="1"/>
    <col min="5" max="5" width="8.7109375" style="157" customWidth="1"/>
    <col min="6" max="6" width="9.85546875" style="157" customWidth="1"/>
    <col min="7" max="7" width="7.140625" style="157" customWidth="1"/>
    <col min="8" max="8" width="8.140625" style="157" customWidth="1"/>
    <col min="9" max="9" width="8" style="157" customWidth="1"/>
    <col min="10" max="10" width="8.5703125" style="157" customWidth="1"/>
    <col min="11" max="11" width="7" style="157" customWidth="1"/>
    <col min="12" max="12" width="9.85546875" style="157" customWidth="1"/>
    <col min="13" max="13" width="10.5703125" style="157" customWidth="1"/>
    <col min="14" max="16384" width="9.140625" style="157"/>
  </cols>
  <sheetData>
    <row r="1" spans="1:13" ht="30.75" customHeight="1" x14ac:dyDescent="0.3">
      <c r="A1" s="359" t="s">
        <v>164</v>
      </c>
      <c r="B1" s="359"/>
      <c r="C1" s="359"/>
      <c r="D1" s="359"/>
      <c r="E1" s="359"/>
      <c r="F1" s="359"/>
      <c r="G1" s="154"/>
      <c r="H1" s="155"/>
      <c r="I1" s="156"/>
      <c r="J1" s="156"/>
      <c r="K1" s="156"/>
      <c r="L1" s="156"/>
      <c r="M1" s="156"/>
    </row>
    <row r="2" spans="1:13" ht="15" customHeight="1" x14ac:dyDescent="0.3">
      <c r="A2" s="156" t="s">
        <v>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 ht="15" customHeight="1" x14ac:dyDescent="0.3">
      <c r="A3" s="156"/>
      <c r="B3" s="156"/>
      <c r="C3" s="158" t="s">
        <v>2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13" ht="15" customHeight="1" x14ac:dyDescent="0.3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</row>
    <row r="5" spans="1:13" ht="18" customHeight="1" x14ac:dyDescent="0.4">
      <c r="A5" s="156"/>
      <c r="B5" s="156"/>
      <c r="C5" s="159" t="s">
        <v>3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</row>
    <row r="6" spans="1:13" ht="15" customHeight="1" x14ac:dyDescent="0.3">
      <c r="A6" s="156"/>
      <c r="B6" s="156"/>
      <c r="C6" s="156" t="s">
        <v>4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</row>
    <row r="7" spans="1:13" ht="10.5" customHeight="1" x14ac:dyDescent="0.3">
      <c r="A7" s="156"/>
      <c r="B7" s="156"/>
      <c r="C7" s="156" t="s">
        <v>5</v>
      </c>
      <c r="D7" s="156"/>
      <c r="E7" s="156"/>
      <c r="F7" s="156"/>
      <c r="G7" s="156"/>
      <c r="H7" s="156"/>
      <c r="I7" s="156"/>
      <c r="J7" s="156"/>
      <c r="K7" s="156"/>
      <c r="L7" s="156"/>
      <c r="M7" s="156"/>
    </row>
    <row r="8" spans="1:13" ht="15" customHeight="1" x14ac:dyDescent="0.3">
      <c r="A8" s="156"/>
      <c r="B8" s="156"/>
      <c r="C8" s="158" t="s">
        <v>6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</row>
    <row r="9" spans="1:13" ht="15" customHeight="1" x14ac:dyDescent="0.3">
      <c r="A9" s="156"/>
      <c r="B9" s="156"/>
      <c r="C9" s="160"/>
      <c r="D9" s="156"/>
      <c r="E9" s="156"/>
      <c r="F9" s="156"/>
      <c r="G9" s="156"/>
      <c r="H9" s="156"/>
      <c r="I9" s="156"/>
      <c r="J9" s="156"/>
      <c r="K9" s="156"/>
      <c r="L9" s="156"/>
      <c r="M9" s="156"/>
    </row>
    <row r="10" spans="1:13" s="166" customFormat="1" ht="15" customHeight="1" x14ac:dyDescent="0.25">
      <c r="A10" s="161" t="s">
        <v>7</v>
      </c>
      <c r="B10" s="162"/>
      <c r="C10" s="162"/>
      <c r="D10" s="161"/>
      <c r="E10" s="162"/>
      <c r="F10" s="161"/>
      <c r="G10" s="161"/>
      <c r="H10" s="161"/>
      <c r="I10" s="161"/>
      <c r="J10" s="161"/>
      <c r="K10" s="163" t="s">
        <v>8</v>
      </c>
      <c r="L10" s="164">
        <f>M150</f>
        <v>0</v>
      </c>
      <c r="M10" s="165" t="s">
        <v>9</v>
      </c>
    </row>
    <row r="11" spans="1:13" s="166" customFormat="1" ht="15" customHeight="1" x14ac:dyDescent="0.25">
      <c r="A11" s="167"/>
      <c r="B11" s="162"/>
      <c r="C11" s="162"/>
      <c r="D11" s="161"/>
      <c r="E11" s="162"/>
      <c r="F11" s="161"/>
      <c r="G11" s="161"/>
      <c r="H11" s="161"/>
      <c r="I11" s="161"/>
      <c r="J11" s="161"/>
      <c r="K11" s="163" t="s">
        <v>10</v>
      </c>
      <c r="L11" s="168">
        <f>H142</f>
        <v>0</v>
      </c>
      <c r="M11" s="165" t="s">
        <v>9</v>
      </c>
    </row>
    <row r="12" spans="1:13" x14ac:dyDescent="0.3">
      <c r="A12" s="169"/>
      <c r="B12" s="170"/>
      <c r="C12" s="171"/>
      <c r="D12" s="172"/>
      <c r="E12" s="173" t="s">
        <v>11</v>
      </c>
      <c r="F12" s="174"/>
      <c r="G12" s="175" t="s">
        <v>12</v>
      </c>
      <c r="H12" s="176"/>
      <c r="I12" s="177" t="s">
        <v>13</v>
      </c>
      <c r="J12" s="176"/>
      <c r="K12" s="178" t="s">
        <v>14</v>
      </c>
      <c r="L12" s="176"/>
      <c r="M12" s="170"/>
    </row>
    <row r="13" spans="1:13" x14ac:dyDescent="0.3">
      <c r="A13" s="179" t="s">
        <v>15</v>
      </c>
      <c r="B13" s="180" t="s">
        <v>16</v>
      </c>
      <c r="C13" s="156" t="s">
        <v>17</v>
      </c>
      <c r="D13" s="180" t="s">
        <v>18</v>
      </c>
      <c r="E13" s="180" t="s">
        <v>19</v>
      </c>
      <c r="F13" s="162" t="s">
        <v>20</v>
      </c>
      <c r="G13" s="180" t="s">
        <v>21</v>
      </c>
      <c r="H13" s="162" t="s">
        <v>20</v>
      </c>
      <c r="I13" s="180" t="s">
        <v>21</v>
      </c>
      <c r="J13" s="162" t="s">
        <v>20</v>
      </c>
      <c r="K13" s="180" t="s">
        <v>21</v>
      </c>
      <c r="L13" s="162" t="s">
        <v>20</v>
      </c>
      <c r="M13" s="180"/>
    </row>
    <row r="14" spans="1:13" x14ac:dyDescent="0.3">
      <c r="A14" s="181"/>
      <c r="B14" s="182"/>
      <c r="C14" s="183"/>
      <c r="D14" s="184"/>
      <c r="E14" s="182"/>
      <c r="F14" s="183"/>
      <c r="G14" s="182" t="s">
        <v>22</v>
      </c>
      <c r="H14" s="183"/>
      <c r="I14" s="182" t="s">
        <v>22</v>
      </c>
      <c r="J14" s="183"/>
      <c r="K14" s="182" t="s">
        <v>22</v>
      </c>
      <c r="L14" s="183"/>
      <c r="M14" s="182"/>
    </row>
    <row r="15" spans="1:13" x14ac:dyDescent="0.3">
      <c r="A15" s="185" t="s">
        <v>23</v>
      </c>
      <c r="B15" s="186" t="s">
        <v>24</v>
      </c>
      <c r="C15" s="173" t="s">
        <v>25</v>
      </c>
      <c r="D15" s="185" t="s">
        <v>26</v>
      </c>
      <c r="E15" s="186" t="s">
        <v>27</v>
      </c>
      <c r="F15" s="174" t="s">
        <v>28</v>
      </c>
      <c r="G15" s="173" t="s">
        <v>29</v>
      </c>
      <c r="H15" s="185" t="s">
        <v>30</v>
      </c>
      <c r="I15" s="186" t="s">
        <v>31</v>
      </c>
      <c r="J15" s="173" t="s">
        <v>32</v>
      </c>
      <c r="K15" s="186" t="s">
        <v>33</v>
      </c>
      <c r="L15" s="185" t="s">
        <v>34</v>
      </c>
      <c r="M15" s="186" t="s">
        <v>35</v>
      </c>
    </row>
    <row r="16" spans="1:13" s="190" customFormat="1" ht="32.25" customHeight="1" x14ac:dyDescent="0.25">
      <c r="A16" s="187">
        <v>1</v>
      </c>
      <c r="B16" s="188" t="s">
        <v>36</v>
      </c>
      <c r="C16" s="189" t="s">
        <v>165</v>
      </c>
      <c r="D16" s="190" t="s">
        <v>38</v>
      </c>
      <c r="E16" s="191"/>
      <c r="F16" s="192">
        <v>28</v>
      </c>
      <c r="G16" s="193"/>
      <c r="H16" s="194"/>
      <c r="I16" s="193"/>
      <c r="J16" s="194"/>
      <c r="K16" s="193"/>
      <c r="L16" s="194"/>
      <c r="M16" s="193"/>
    </row>
    <row r="17" spans="1:13" s="203" customFormat="1" ht="18" customHeight="1" x14ac:dyDescent="0.25">
      <c r="A17" s="195"/>
      <c r="B17" s="195"/>
      <c r="C17" s="195" t="s">
        <v>39</v>
      </c>
      <c r="D17" s="196" t="s">
        <v>40</v>
      </c>
      <c r="E17" s="197">
        <f>(2.581)/0.6005*0.8</f>
        <v>3.4384679433805161</v>
      </c>
      <c r="F17" s="198">
        <f>F16*E17</f>
        <v>96.277102414654451</v>
      </c>
      <c r="G17" s="199">
        <v>0</v>
      </c>
      <c r="H17" s="198">
        <f>F17*G17</f>
        <v>0</v>
      </c>
      <c r="I17" s="200"/>
      <c r="J17" s="201"/>
      <c r="K17" s="200"/>
      <c r="L17" s="201"/>
      <c r="M17" s="202">
        <f>H17</f>
        <v>0</v>
      </c>
    </row>
    <row r="18" spans="1:13" s="210" customFormat="1" ht="40.5" x14ac:dyDescent="0.25">
      <c r="A18" s="189">
        <v>2</v>
      </c>
      <c r="B18" s="188" t="s">
        <v>41</v>
      </c>
      <c r="C18" s="204" t="s">
        <v>166</v>
      </c>
      <c r="D18" s="204" t="s">
        <v>43</v>
      </c>
      <c r="E18" s="204"/>
      <c r="F18" s="205">
        <f>5.3*12</f>
        <v>63.599999999999994</v>
      </c>
      <c r="G18" s="206"/>
      <c r="H18" s="207"/>
      <c r="I18" s="206"/>
      <c r="J18" s="207"/>
      <c r="K18" s="208"/>
      <c r="L18" s="209"/>
      <c r="M18" s="208"/>
    </row>
    <row r="19" spans="1:13" s="212" customFormat="1" ht="13.5" x14ac:dyDescent="0.25">
      <c r="A19" s="211"/>
      <c r="C19" s="211" t="s">
        <v>44</v>
      </c>
      <c r="D19" s="211" t="s">
        <v>40</v>
      </c>
      <c r="E19" s="213">
        <f>(1.29)/0.438</f>
        <v>2.945205479452055</v>
      </c>
      <c r="F19" s="214">
        <f>F18*E19</f>
        <v>187.31506849315068</v>
      </c>
      <c r="G19" s="215">
        <v>0</v>
      </c>
      <c r="H19" s="214">
        <f>F19*G19</f>
        <v>0</v>
      </c>
      <c r="I19" s="216"/>
      <c r="J19" s="217"/>
      <c r="K19" s="216"/>
      <c r="L19" s="217"/>
      <c r="M19" s="215">
        <f>H19+J19+L19</f>
        <v>0</v>
      </c>
    </row>
    <row r="20" spans="1:13" s="212" customFormat="1" ht="13.5" x14ac:dyDescent="0.25">
      <c r="A20" s="218"/>
      <c r="B20" s="219" t="s">
        <v>45</v>
      </c>
      <c r="C20" s="218" t="s">
        <v>46</v>
      </c>
      <c r="D20" s="218" t="s">
        <v>47</v>
      </c>
      <c r="E20" s="220" t="s">
        <v>48</v>
      </c>
      <c r="F20" s="221">
        <f>(1.2+0.24)*1.15</f>
        <v>1.6559999999999999</v>
      </c>
      <c r="G20" s="216"/>
      <c r="H20" s="217"/>
      <c r="I20" s="215">
        <v>0</v>
      </c>
      <c r="J20" s="214">
        <f t="shared" ref="J20:J25" si="0">F20*I20</f>
        <v>0</v>
      </c>
      <c r="K20" s="216"/>
      <c r="L20" s="217"/>
      <c r="M20" s="215">
        <f t="shared" ref="M20:M82" si="1">H20+J20+L20</f>
        <v>0</v>
      </c>
    </row>
    <row r="21" spans="1:13" s="212" customFormat="1" ht="13.5" x14ac:dyDescent="0.25">
      <c r="A21" s="218"/>
      <c r="B21" s="218" t="s">
        <v>49</v>
      </c>
      <c r="C21" s="218" t="s">
        <v>50</v>
      </c>
      <c r="D21" s="218" t="s">
        <v>51</v>
      </c>
      <c r="E21" s="222" t="s">
        <v>48</v>
      </c>
      <c r="F21" s="223">
        <v>8</v>
      </c>
      <c r="G21" s="224"/>
      <c r="H21" s="224"/>
      <c r="I21" s="215">
        <v>0</v>
      </c>
      <c r="J21" s="223">
        <f t="shared" si="0"/>
        <v>0</v>
      </c>
      <c r="K21" s="224"/>
      <c r="L21" s="224"/>
      <c r="M21" s="215">
        <f t="shared" si="1"/>
        <v>0</v>
      </c>
    </row>
    <row r="22" spans="1:13" s="212" customFormat="1" ht="13.5" x14ac:dyDescent="0.25">
      <c r="A22" s="218"/>
      <c r="B22" s="218" t="s">
        <v>52</v>
      </c>
      <c r="C22" s="218" t="s">
        <v>53</v>
      </c>
      <c r="D22" s="218" t="s">
        <v>54</v>
      </c>
      <c r="E22" s="218">
        <v>3.4000000000000002E-2</v>
      </c>
      <c r="F22" s="223">
        <f>F18*E22</f>
        <v>2.1623999999999999</v>
      </c>
      <c r="G22" s="223"/>
      <c r="H22" s="223"/>
      <c r="I22" s="215">
        <v>0</v>
      </c>
      <c r="J22" s="223">
        <f t="shared" si="0"/>
        <v>0</v>
      </c>
      <c r="K22" s="224"/>
      <c r="L22" s="224"/>
      <c r="M22" s="215">
        <f t="shared" si="1"/>
        <v>0</v>
      </c>
    </row>
    <row r="23" spans="1:13" s="212" customFormat="1" ht="13.5" x14ac:dyDescent="0.25">
      <c r="A23" s="218"/>
      <c r="B23" s="218"/>
      <c r="C23" s="218" t="s">
        <v>55</v>
      </c>
      <c r="D23" s="218" t="s">
        <v>38</v>
      </c>
      <c r="E23" s="211">
        <v>0.04</v>
      </c>
      <c r="F23" s="214">
        <f>F18*E23</f>
        <v>2.544</v>
      </c>
      <c r="G23" s="216"/>
      <c r="H23" s="217"/>
      <c r="I23" s="215">
        <v>0</v>
      </c>
      <c r="J23" s="214">
        <f t="shared" si="0"/>
        <v>0</v>
      </c>
      <c r="K23" s="216"/>
      <c r="L23" s="217"/>
      <c r="M23" s="215">
        <f t="shared" si="1"/>
        <v>0</v>
      </c>
    </row>
    <row r="24" spans="1:13" s="212" customFormat="1" ht="13.5" x14ac:dyDescent="0.25">
      <c r="A24" s="218"/>
      <c r="B24" s="218" t="s">
        <v>56</v>
      </c>
      <c r="C24" s="218" t="s">
        <v>57</v>
      </c>
      <c r="D24" s="218" t="s">
        <v>38</v>
      </c>
      <c r="E24" s="211">
        <v>0.16</v>
      </c>
      <c r="F24" s="214">
        <f>F18*E24</f>
        <v>10.176</v>
      </c>
      <c r="G24" s="216"/>
      <c r="H24" s="217"/>
      <c r="I24" s="215">
        <v>0</v>
      </c>
      <c r="J24" s="214">
        <f t="shared" si="0"/>
        <v>0</v>
      </c>
      <c r="K24" s="216"/>
      <c r="L24" s="217"/>
      <c r="M24" s="215">
        <f t="shared" si="1"/>
        <v>0</v>
      </c>
    </row>
    <row r="25" spans="1:13" s="212" customFormat="1" ht="13.5" x14ac:dyDescent="0.25">
      <c r="A25" s="225"/>
      <c r="B25" s="225"/>
      <c r="C25" s="225" t="s">
        <v>58</v>
      </c>
      <c r="D25" s="225" t="s">
        <v>54</v>
      </c>
      <c r="E25" s="226">
        <v>0.1</v>
      </c>
      <c r="F25" s="227">
        <f>F18*E25</f>
        <v>6.3599999999999994</v>
      </c>
      <c r="G25" s="228"/>
      <c r="H25" s="229"/>
      <c r="I25" s="215">
        <v>0</v>
      </c>
      <c r="J25" s="227">
        <f t="shared" si="0"/>
        <v>0</v>
      </c>
      <c r="K25" s="228"/>
      <c r="L25" s="229"/>
      <c r="M25" s="226">
        <f t="shared" si="1"/>
        <v>0</v>
      </c>
    </row>
    <row r="26" spans="1:13" s="210" customFormat="1" ht="27" x14ac:dyDescent="0.25">
      <c r="A26" s="189">
        <v>3</v>
      </c>
      <c r="B26" s="188" t="s">
        <v>41</v>
      </c>
      <c r="C26" s="204" t="s">
        <v>167</v>
      </c>
      <c r="D26" s="204" t="s">
        <v>43</v>
      </c>
      <c r="E26" s="204"/>
      <c r="F26" s="205">
        <f>5.2*4</f>
        <v>20.8</v>
      </c>
      <c r="G26" s="206"/>
      <c r="H26" s="207"/>
      <c r="I26" s="206"/>
      <c r="J26" s="207"/>
      <c r="K26" s="208"/>
      <c r="L26" s="209"/>
      <c r="M26" s="215"/>
    </row>
    <row r="27" spans="1:13" s="212" customFormat="1" ht="13.5" x14ac:dyDescent="0.25">
      <c r="A27" s="211"/>
      <c r="C27" s="211" t="s">
        <v>44</v>
      </c>
      <c r="D27" s="211" t="s">
        <v>40</v>
      </c>
      <c r="E27" s="213">
        <f>(1.29)/0.438</f>
        <v>2.945205479452055</v>
      </c>
      <c r="F27" s="214">
        <f>F26*E27</f>
        <v>61.260273972602747</v>
      </c>
      <c r="G27" s="215">
        <v>0</v>
      </c>
      <c r="H27" s="214">
        <f>F27*G27</f>
        <v>0</v>
      </c>
      <c r="I27" s="216"/>
      <c r="J27" s="217"/>
      <c r="K27" s="216"/>
      <c r="L27" s="217"/>
      <c r="M27" s="215">
        <f t="shared" si="1"/>
        <v>0</v>
      </c>
    </row>
    <row r="28" spans="1:13" s="212" customFormat="1" ht="13.5" x14ac:dyDescent="0.25">
      <c r="A28" s="218"/>
      <c r="B28" s="219" t="s">
        <v>45</v>
      </c>
      <c r="C28" s="218" t="s">
        <v>46</v>
      </c>
      <c r="D28" s="218" t="s">
        <v>47</v>
      </c>
      <c r="E28" s="220" t="s">
        <v>48</v>
      </c>
      <c r="F28" s="221">
        <f>(1.2+0.24)*1.15</f>
        <v>1.6559999999999999</v>
      </c>
      <c r="G28" s="216"/>
      <c r="H28" s="217"/>
      <c r="I28" s="215">
        <v>0</v>
      </c>
      <c r="J28" s="214">
        <f t="shared" ref="J28:J32" si="2">F28*I28</f>
        <v>0</v>
      </c>
      <c r="K28" s="216"/>
      <c r="L28" s="217"/>
      <c r="M28" s="215">
        <f t="shared" si="1"/>
        <v>0</v>
      </c>
    </row>
    <row r="29" spans="1:13" s="212" customFormat="1" ht="13.5" x14ac:dyDescent="0.25">
      <c r="A29" s="218"/>
      <c r="B29" s="218" t="s">
        <v>52</v>
      </c>
      <c r="C29" s="218" t="s">
        <v>53</v>
      </c>
      <c r="D29" s="218" t="s">
        <v>54</v>
      </c>
      <c r="E29" s="211">
        <v>3.4000000000000002E-2</v>
      </c>
      <c r="F29" s="214">
        <f>F26*E29</f>
        <v>0.70720000000000005</v>
      </c>
      <c r="G29" s="215"/>
      <c r="H29" s="214"/>
      <c r="I29" s="215">
        <v>0</v>
      </c>
      <c r="J29" s="214">
        <f t="shared" si="2"/>
        <v>0</v>
      </c>
      <c r="K29" s="216"/>
      <c r="L29" s="217"/>
      <c r="M29" s="215">
        <f t="shared" si="1"/>
        <v>0</v>
      </c>
    </row>
    <row r="30" spans="1:13" s="212" customFormat="1" ht="13.5" x14ac:dyDescent="0.25">
      <c r="A30" s="218"/>
      <c r="B30" s="218"/>
      <c r="C30" s="218" t="s">
        <v>55</v>
      </c>
      <c r="D30" s="218" t="s">
        <v>38</v>
      </c>
      <c r="E30" s="211">
        <v>0.04</v>
      </c>
      <c r="F30" s="214">
        <f>F26*E30</f>
        <v>0.83200000000000007</v>
      </c>
      <c r="G30" s="216"/>
      <c r="H30" s="217"/>
      <c r="I30" s="215">
        <v>0</v>
      </c>
      <c r="J30" s="214">
        <f t="shared" si="2"/>
        <v>0</v>
      </c>
      <c r="K30" s="216"/>
      <c r="L30" s="217"/>
      <c r="M30" s="215">
        <f t="shared" si="1"/>
        <v>0</v>
      </c>
    </row>
    <row r="31" spans="1:13" s="212" customFormat="1" ht="13.5" x14ac:dyDescent="0.25">
      <c r="A31" s="218"/>
      <c r="B31" s="218" t="s">
        <v>56</v>
      </c>
      <c r="C31" s="218" t="s">
        <v>57</v>
      </c>
      <c r="D31" s="218" t="s">
        <v>38</v>
      </c>
      <c r="E31" s="211">
        <v>0.16</v>
      </c>
      <c r="F31" s="214">
        <f>F26*E31</f>
        <v>3.3280000000000003</v>
      </c>
      <c r="G31" s="216"/>
      <c r="H31" s="217"/>
      <c r="I31" s="215">
        <v>0</v>
      </c>
      <c r="J31" s="214">
        <f t="shared" si="2"/>
        <v>0</v>
      </c>
      <c r="K31" s="216"/>
      <c r="L31" s="217"/>
      <c r="M31" s="215">
        <f t="shared" si="1"/>
        <v>0</v>
      </c>
    </row>
    <row r="32" spans="1:13" s="212" customFormat="1" ht="14.45" customHeight="1" x14ac:dyDescent="0.25">
      <c r="A32" s="225"/>
      <c r="B32" s="225"/>
      <c r="C32" s="225" t="s">
        <v>58</v>
      </c>
      <c r="D32" s="225" t="s">
        <v>54</v>
      </c>
      <c r="E32" s="226">
        <v>0.1</v>
      </c>
      <c r="F32" s="227">
        <f>F26*E32</f>
        <v>2.08</v>
      </c>
      <c r="G32" s="228"/>
      <c r="H32" s="229"/>
      <c r="I32" s="215">
        <v>0</v>
      </c>
      <c r="J32" s="227">
        <f t="shared" si="2"/>
        <v>0</v>
      </c>
      <c r="K32" s="228"/>
      <c r="L32" s="229"/>
      <c r="M32" s="215">
        <f t="shared" si="1"/>
        <v>0</v>
      </c>
    </row>
    <row r="33" spans="1:13" s="210" customFormat="1" ht="26.25" customHeight="1" x14ac:dyDescent="0.25">
      <c r="A33" s="230">
        <v>4</v>
      </c>
      <c r="B33" s="231" t="s">
        <v>60</v>
      </c>
      <c r="C33" s="189" t="s">
        <v>162</v>
      </c>
      <c r="D33" s="232" t="s">
        <v>38</v>
      </c>
      <c r="E33" s="233"/>
      <c r="F33" s="209">
        <v>65</v>
      </c>
      <c r="G33" s="234"/>
      <c r="H33" s="235"/>
      <c r="I33" s="234"/>
      <c r="J33" s="235"/>
      <c r="K33" s="208"/>
      <c r="M33" s="215"/>
    </row>
    <row r="34" spans="1:13" s="203" customFormat="1" ht="17.25" customHeight="1" x14ac:dyDescent="0.25">
      <c r="A34" s="236"/>
      <c r="B34" s="236"/>
      <c r="C34" s="236" t="s">
        <v>61</v>
      </c>
      <c r="D34" s="237" t="s">
        <v>168</v>
      </c>
      <c r="E34" s="238">
        <f>32.8/100</f>
        <v>0.32799999999999996</v>
      </c>
      <c r="F34" s="239">
        <f>F33*E34</f>
        <v>21.319999999999997</v>
      </c>
      <c r="G34" s="240">
        <v>0</v>
      </c>
      <c r="H34" s="241">
        <f>F34*G34</f>
        <v>0</v>
      </c>
      <c r="I34" s="242"/>
      <c r="J34" s="243"/>
      <c r="K34" s="242"/>
      <c r="L34" s="243"/>
      <c r="M34" s="215">
        <f t="shared" si="1"/>
        <v>0</v>
      </c>
    </row>
    <row r="35" spans="1:13" s="203" customFormat="1" ht="17.25" customHeight="1" x14ac:dyDescent="0.25">
      <c r="A35" s="236"/>
      <c r="C35" s="244" t="s">
        <v>63</v>
      </c>
      <c r="D35" s="237" t="s">
        <v>64</v>
      </c>
      <c r="E35" s="245">
        <f>2.63/100</f>
        <v>2.63E-2</v>
      </c>
      <c r="F35" s="239">
        <f>F33*E35</f>
        <v>1.7095</v>
      </c>
      <c r="G35" s="246"/>
      <c r="H35" s="243"/>
      <c r="I35" s="240"/>
      <c r="J35" s="241"/>
      <c r="K35" s="240">
        <v>0</v>
      </c>
      <c r="L35" s="241">
        <f>F35*K35</f>
        <v>0</v>
      </c>
      <c r="M35" s="215">
        <f t="shared" si="1"/>
        <v>0</v>
      </c>
    </row>
    <row r="36" spans="1:13" s="203" customFormat="1" ht="17.25" customHeight="1" x14ac:dyDescent="0.25">
      <c r="A36" s="236"/>
      <c r="B36" s="203" t="s">
        <v>65</v>
      </c>
      <c r="C36" s="237" t="s">
        <v>66</v>
      </c>
      <c r="D36" s="247" t="s">
        <v>38</v>
      </c>
      <c r="E36" s="238">
        <v>1.1499999999999999</v>
      </c>
      <c r="F36" s="239">
        <f>F33*E36</f>
        <v>74.75</v>
      </c>
      <c r="G36" s="246"/>
      <c r="H36" s="243"/>
      <c r="I36" s="215">
        <v>0</v>
      </c>
      <c r="J36" s="241">
        <f>F36*I36</f>
        <v>0</v>
      </c>
      <c r="K36" s="242"/>
      <c r="L36" s="243"/>
      <c r="M36" s="215">
        <f t="shared" si="1"/>
        <v>0</v>
      </c>
    </row>
    <row r="37" spans="1:13" s="203" customFormat="1" ht="17.25" customHeight="1" x14ac:dyDescent="0.25">
      <c r="A37" s="236"/>
      <c r="B37" s="203" t="s">
        <v>67</v>
      </c>
      <c r="C37" s="237" t="s">
        <v>68</v>
      </c>
      <c r="D37" s="247" t="s">
        <v>38</v>
      </c>
      <c r="E37" s="238">
        <v>1.23</v>
      </c>
      <c r="F37" s="239">
        <f>F33*E37</f>
        <v>79.95</v>
      </c>
      <c r="G37" s="246"/>
      <c r="H37" s="243"/>
      <c r="I37" s="215">
        <v>0</v>
      </c>
      <c r="J37" s="241">
        <f>F37*I37</f>
        <v>0</v>
      </c>
      <c r="K37" s="242"/>
      <c r="L37" s="243"/>
      <c r="M37" s="215">
        <f t="shared" si="1"/>
        <v>0</v>
      </c>
    </row>
    <row r="38" spans="1:13" s="203" customFormat="1" ht="17.25" customHeight="1" x14ac:dyDescent="0.25">
      <c r="A38" s="236"/>
      <c r="B38" s="203" t="s">
        <v>69</v>
      </c>
      <c r="C38" s="236" t="s">
        <v>70</v>
      </c>
      <c r="D38" s="203" t="s">
        <v>54</v>
      </c>
      <c r="E38" s="238">
        <f>40/100</f>
        <v>0.4</v>
      </c>
      <c r="F38" s="239">
        <f>F33*E38</f>
        <v>26</v>
      </c>
      <c r="G38" s="246"/>
      <c r="H38" s="243"/>
      <c r="I38" s="215">
        <v>0</v>
      </c>
      <c r="J38" s="241">
        <f>F38*I38</f>
        <v>0</v>
      </c>
      <c r="K38" s="242"/>
      <c r="L38" s="243"/>
      <c r="M38" s="215">
        <f t="shared" si="1"/>
        <v>0</v>
      </c>
    </row>
    <row r="39" spans="1:13" s="203" customFormat="1" ht="17.25" customHeight="1" x14ac:dyDescent="0.25">
      <c r="A39" s="195"/>
      <c r="B39" s="196"/>
      <c r="C39" s="195" t="s">
        <v>71</v>
      </c>
      <c r="D39" s="248" t="s">
        <v>64</v>
      </c>
      <c r="E39" s="249">
        <f>6.4/100</f>
        <v>6.4000000000000001E-2</v>
      </c>
      <c r="F39" s="250">
        <f>F33*E39</f>
        <v>4.16</v>
      </c>
      <c r="G39" s="251"/>
      <c r="H39" s="201"/>
      <c r="I39" s="215">
        <v>0</v>
      </c>
      <c r="J39" s="198">
        <f>F39*I39</f>
        <v>0</v>
      </c>
      <c r="K39" s="200"/>
      <c r="L39" s="201"/>
      <c r="M39" s="226">
        <f t="shared" si="1"/>
        <v>0</v>
      </c>
    </row>
    <row r="40" spans="1:13" s="190" customFormat="1" ht="32.25" customHeight="1" x14ac:dyDescent="0.25">
      <c r="A40" s="187">
        <v>5</v>
      </c>
      <c r="B40" s="188" t="s">
        <v>36</v>
      </c>
      <c r="C40" s="189" t="s">
        <v>77</v>
      </c>
      <c r="D40" s="190" t="s">
        <v>38</v>
      </c>
      <c r="E40" s="191"/>
      <c r="F40" s="192">
        <v>31.9</v>
      </c>
      <c r="G40" s="193"/>
      <c r="H40" s="194"/>
      <c r="I40" s="193"/>
      <c r="J40" s="194"/>
      <c r="K40" s="193"/>
      <c r="L40" s="194"/>
      <c r="M40" s="215"/>
    </row>
    <row r="41" spans="1:13" s="203" customFormat="1" ht="18" customHeight="1" x14ac:dyDescent="0.25">
      <c r="A41" s="236"/>
      <c r="B41" s="236"/>
      <c r="C41" s="236" t="s">
        <v>44</v>
      </c>
      <c r="D41" s="203" t="s">
        <v>40</v>
      </c>
      <c r="E41" s="213">
        <f>(2.581)/0.438</f>
        <v>5.8926940639269407</v>
      </c>
      <c r="F41" s="241">
        <f>F40*E41</f>
        <v>187.9769406392694</v>
      </c>
      <c r="G41" s="240">
        <v>0</v>
      </c>
      <c r="H41" s="241">
        <f>F41*G41</f>
        <v>0</v>
      </c>
      <c r="I41" s="242"/>
      <c r="J41" s="243"/>
      <c r="K41" s="242"/>
      <c r="L41" s="243"/>
      <c r="M41" s="215">
        <f t="shared" si="1"/>
        <v>0</v>
      </c>
    </row>
    <row r="42" spans="1:13" s="203" customFormat="1" ht="18" customHeight="1" x14ac:dyDescent="0.25">
      <c r="A42" s="236"/>
      <c r="B42" s="252" t="s">
        <v>73</v>
      </c>
      <c r="C42" s="236" t="s">
        <v>74</v>
      </c>
      <c r="D42" s="203" t="s">
        <v>38</v>
      </c>
      <c r="E42" s="253" t="s">
        <v>48</v>
      </c>
      <c r="F42" s="241">
        <v>48</v>
      </c>
      <c r="G42" s="246"/>
      <c r="H42" s="243"/>
      <c r="I42" s="215">
        <v>0</v>
      </c>
      <c r="J42" s="241">
        <f>F42*I42</f>
        <v>0</v>
      </c>
      <c r="K42" s="242"/>
      <c r="L42" s="243"/>
      <c r="M42" s="215">
        <f t="shared" si="1"/>
        <v>0</v>
      </c>
    </row>
    <row r="43" spans="1:13" s="212" customFormat="1" ht="13.5" x14ac:dyDescent="0.25">
      <c r="A43" s="225"/>
      <c r="B43" s="254" t="s">
        <v>169</v>
      </c>
      <c r="C43" s="225" t="s">
        <v>76</v>
      </c>
      <c r="D43" s="225" t="s">
        <v>51</v>
      </c>
      <c r="E43" s="255" t="s">
        <v>48</v>
      </c>
      <c r="F43" s="256">
        <v>160</v>
      </c>
      <c r="G43" s="257"/>
      <c r="H43" s="257"/>
      <c r="I43" s="215">
        <v>0</v>
      </c>
      <c r="J43" s="256">
        <f t="shared" ref="J43" si="3">F43*I43</f>
        <v>0</v>
      </c>
      <c r="K43" s="257"/>
      <c r="L43" s="257"/>
      <c r="M43" s="226">
        <f t="shared" si="1"/>
        <v>0</v>
      </c>
    </row>
    <row r="44" spans="1:13" s="210" customFormat="1" ht="38.25" x14ac:dyDescent="0.25">
      <c r="A44" s="189">
        <v>6</v>
      </c>
      <c r="B44" s="188" t="s">
        <v>78</v>
      </c>
      <c r="C44" s="189" t="s">
        <v>79</v>
      </c>
      <c r="D44" s="210" t="s">
        <v>47</v>
      </c>
      <c r="E44" s="233"/>
      <c r="F44" s="209">
        <v>6.4</v>
      </c>
      <c r="G44" s="234"/>
      <c r="H44" s="235"/>
      <c r="I44" s="208"/>
      <c r="K44" s="234"/>
      <c r="L44" s="235"/>
      <c r="M44" s="215"/>
    </row>
    <row r="45" spans="1:13" s="212" customFormat="1" ht="13.5" x14ac:dyDescent="0.25">
      <c r="A45" s="211"/>
      <c r="B45" s="211"/>
      <c r="C45" s="211" t="s">
        <v>44</v>
      </c>
      <c r="D45" s="211" t="s">
        <v>40</v>
      </c>
      <c r="E45" s="258">
        <f>(4.31+15.23)/0.6005</f>
        <v>32.539550374687757</v>
      </c>
      <c r="F45" s="221">
        <f>F44*E45</f>
        <v>208.25312239800166</v>
      </c>
      <c r="G45" s="240">
        <v>0</v>
      </c>
      <c r="H45" s="214">
        <f>F45*G45</f>
        <v>0</v>
      </c>
      <c r="I45" s="216"/>
      <c r="J45" s="217"/>
      <c r="K45" s="216"/>
      <c r="L45" s="217"/>
      <c r="M45" s="215">
        <f t="shared" si="1"/>
        <v>0</v>
      </c>
    </row>
    <row r="46" spans="1:13" s="212" customFormat="1" ht="13.5" x14ac:dyDescent="0.25">
      <c r="A46" s="211"/>
      <c r="C46" s="211" t="s">
        <v>80</v>
      </c>
      <c r="D46" s="212" t="s">
        <v>47</v>
      </c>
      <c r="E46" s="258">
        <v>1.2</v>
      </c>
      <c r="F46" s="221">
        <f>F44*E46</f>
        <v>7.68</v>
      </c>
      <c r="G46" s="259"/>
      <c r="H46" s="217"/>
      <c r="I46" s="215"/>
      <c r="J46" s="214"/>
      <c r="K46" s="216"/>
      <c r="L46" s="217"/>
      <c r="M46" s="215">
        <f t="shared" si="1"/>
        <v>0</v>
      </c>
    </row>
    <row r="47" spans="1:13" s="212" customFormat="1" ht="13.5" x14ac:dyDescent="0.25">
      <c r="A47" s="211"/>
      <c r="C47" s="211" t="s">
        <v>81</v>
      </c>
      <c r="D47" s="212" t="s">
        <v>82</v>
      </c>
      <c r="E47" s="258">
        <v>3.2000000000000001E-2</v>
      </c>
      <c r="F47" s="221">
        <f>F44*E47</f>
        <v>0.20480000000000001</v>
      </c>
      <c r="G47" s="259"/>
      <c r="H47" s="217"/>
      <c r="I47" s="215">
        <v>0</v>
      </c>
      <c r="J47" s="214">
        <f t="shared" ref="J47:J50" si="4">F47*I47</f>
        <v>0</v>
      </c>
      <c r="K47" s="216"/>
      <c r="L47" s="217"/>
      <c r="M47" s="215">
        <f t="shared" si="1"/>
        <v>0</v>
      </c>
    </row>
    <row r="48" spans="1:13" s="212" customFormat="1" ht="13.5" x14ac:dyDescent="0.25">
      <c r="A48" s="211"/>
      <c r="B48" s="212" t="s">
        <v>83</v>
      </c>
      <c r="C48" s="211" t="s">
        <v>84</v>
      </c>
      <c r="D48" s="212" t="s">
        <v>82</v>
      </c>
      <c r="E48" s="258">
        <v>0.06</v>
      </c>
      <c r="F48" s="221">
        <f>F44*E48</f>
        <v>0.38400000000000001</v>
      </c>
      <c r="G48" s="259"/>
      <c r="H48" s="217"/>
      <c r="I48" s="215">
        <v>0</v>
      </c>
      <c r="J48" s="214">
        <f t="shared" si="4"/>
        <v>0</v>
      </c>
      <c r="K48" s="216"/>
      <c r="L48" s="217"/>
      <c r="M48" s="215">
        <f t="shared" si="1"/>
        <v>0</v>
      </c>
    </row>
    <row r="49" spans="1:13" s="212" customFormat="1" ht="13.5" x14ac:dyDescent="0.25">
      <c r="A49" s="211"/>
      <c r="B49" s="212" t="s">
        <v>85</v>
      </c>
      <c r="C49" s="211" t="s">
        <v>86</v>
      </c>
      <c r="D49" s="212" t="s">
        <v>47</v>
      </c>
      <c r="E49" s="258">
        <v>0.19</v>
      </c>
      <c r="F49" s="221">
        <f>F44*E49</f>
        <v>1.2160000000000002</v>
      </c>
      <c r="G49" s="259"/>
      <c r="H49" s="217"/>
      <c r="I49" s="215">
        <v>0</v>
      </c>
      <c r="J49" s="214">
        <f t="shared" si="4"/>
        <v>0</v>
      </c>
      <c r="K49" s="216"/>
      <c r="L49" s="217"/>
      <c r="M49" s="215">
        <f t="shared" si="1"/>
        <v>0</v>
      </c>
    </row>
    <row r="50" spans="1:13" s="212" customFormat="1" ht="13.5" x14ac:dyDescent="0.25">
      <c r="A50" s="254"/>
      <c r="B50" s="261" t="s">
        <v>170</v>
      </c>
      <c r="C50" s="254" t="s">
        <v>88</v>
      </c>
      <c r="D50" s="261" t="s">
        <v>47</v>
      </c>
      <c r="E50" s="262">
        <v>0.47</v>
      </c>
      <c r="F50" s="263">
        <f>F44*E50</f>
        <v>3.008</v>
      </c>
      <c r="G50" s="264"/>
      <c r="H50" s="229"/>
      <c r="I50" s="215">
        <v>0</v>
      </c>
      <c r="J50" s="227">
        <f t="shared" si="4"/>
        <v>0</v>
      </c>
      <c r="K50" s="228"/>
      <c r="L50" s="229"/>
      <c r="M50" s="226">
        <f t="shared" si="1"/>
        <v>0</v>
      </c>
    </row>
    <row r="51" spans="1:13" s="210" customFormat="1" ht="27" x14ac:dyDescent="0.25">
      <c r="A51" s="189">
        <v>7</v>
      </c>
      <c r="B51" s="188" t="s">
        <v>89</v>
      </c>
      <c r="C51" s="189" t="s">
        <v>90</v>
      </c>
      <c r="D51" s="210" t="s">
        <v>47</v>
      </c>
      <c r="E51" s="233"/>
      <c r="F51" s="209">
        <v>8</v>
      </c>
      <c r="G51" s="234"/>
      <c r="H51" s="235"/>
      <c r="I51" s="208"/>
      <c r="K51" s="234"/>
      <c r="L51" s="235"/>
      <c r="M51" s="215"/>
    </row>
    <row r="52" spans="1:13" s="212" customFormat="1" ht="13.5" x14ac:dyDescent="0.25">
      <c r="A52" s="211"/>
      <c r="B52" s="211"/>
      <c r="C52" s="211" t="s">
        <v>44</v>
      </c>
      <c r="D52" s="211" t="s">
        <v>40</v>
      </c>
      <c r="E52" s="258">
        <f>(15.23)/0.6005</f>
        <v>25.362198168193171</v>
      </c>
      <c r="F52" s="221">
        <f>F51*E52</f>
        <v>202.89758534554537</v>
      </c>
      <c r="G52" s="240">
        <v>0</v>
      </c>
      <c r="H52" s="214">
        <f>F52*G52</f>
        <v>0</v>
      </c>
      <c r="I52" s="216"/>
      <c r="J52" s="217"/>
      <c r="K52" s="216"/>
      <c r="L52" s="217"/>
      <c r="M52" s="215">
        <f t="shared" si="1"/>
        <v>0</v>
      </c>
    </row>
    <row r="53" spans="1:13" s="212" customFormat="1" ht="13.5" x14ac:dyDescent="0.25">
      <c r="A53" s="211"/>
      <c r="C53" s="211" t="s">
        <v>91</v>
      </c>
      <c r="D53" s="212" t="s">
        <v>47</v>
      </c>
      <c r="E53" s="258">
        <v>1.2</v>
      </c>
      <c r="F53" s="221">
        <f>F51*E53</f>
        <v>9.6</v>
      </c>
      <c r="G53" s="259"/>
      <c r="H53" s="217"/>
      <c r="I53" s="215">
        <v>0</v>
      </c>
      <c r="J53" s="214">
        <f t="shared" ref="J53:J57" si="5">F53*I53</f>
        <v>0</v>
      </c>
      <c r="K53" s="216"/>
      <c r="L53" s="217"/>
      <c r="M53" s="215">
        <f t="shared" si="1"/>
        <v>0</v>
      </c>
    </row>
    <row r="54" spans="1:13" s="212" customFormat="1" ht="13.5" x14ac:dyDescent="0.25">
      <c r="A54" s="211"/>
      <c r="C54" s="211" t="s">
        <v>81</v>
      </c>
      <c r="D54" s="212" t="s">
        <v>82</v>
      </c>
      <c r="E54" s="258">
        <v>3.2000000000000001E-2</v>
      </c>
      <c r="F54" s="221">
        <f>F51*E54</f>
        <v>0.25600000000000001</v>
      </c>
      <c r="G54" s="259"/>
      <c r="H54" s="217"/>
      <c r="I54" s="215">
        <v>0</v>
      </c>
      <c r="J54" s="214">
        <f t="shared" si="5"/>
        <v>0</v>
      </c>
      <c r="K54" s="216"/>
      <c r="L54" s="217"/>
      <c r="M54" s="215">
        <f t="shared" si="1"/>
        <v>0</v>
      </c>
    </row>
    <row r="55" spans="1:13" s="212" customFormat="1" ht="13.5" x14ac:dyDescent="0.25">
      <c r="A55" s="211"/>
      <c r="B55" s="212" t="s">
        <v>83</v>
      </c>
      <c r="C55" s="211" t="s">
        <v>84</v>
      </c>
      <c r="D55" s="212" t="s">
        <v>82</v>
      </c>
      <c r="E55" s="258">
        <v>0.06</v>
      </c>
      <c r="F55" s="221">
        <f>F51*E55</f>
        <v>0.48</v>
      </c>
      <c r="G55" s="259"/>
      <c r="H55" s="217"/>
      <c r="I55" s="215">
        <v>0</v>
      </c>
      <c r="J55" s="214">
        <f t="shared" si="5"/>
        <v>0</v>
      </c>
      <c r="K55" s="216"/>
      <c r="L55" s="217"/>
      <c r="M55" s="215">
        <f t="shared" si="1"/>
        <v>0</v>
      </c>
    </row>
    <row r="56" spans="1:13" s="212" customFormat="1" ht="13.5" x14ac:dyDescent="0.25">
      <c r="A56" s="211"/>
      <c r="B56" s="212" t="s">
        <v>85</v>
      </c>
      <c r="C56" s="211" t="s">
        <v>86</v>
      </c>
      <c r="D56" s="212" t="s">
        <v>47</v>
      </c>
      <c r="E56" s="258">
        <v>0.19</v>
      </c>
      <c r="F56" s="221">
        <f>F51*E56</f>
        <v>1.52</v>
      </c>
      <c r="G56" s="259"/>
      <c r="H56" s="217"/>
      <c r="I56" s="215">
        <v>0</v>
      </c>
      <c r="J56" s="214">
        <f t="shared" si="5"/>
        <v>0</v>
      </c>
      <c r="K56" s="216"/>
      <c r="L56" s="217"/>
      <c r="M56" s="215">
        <f t="shared" si="1"/>
        <v>0</v>
      </c>
    </row>
    <row r="57" spans="1:13" s="212" customFormat="1" ht="13.5" x14ac:dyDescent="0.25">
      <c r="A57" s="254"/>
      <c r="B57" s="261" t="s">
        <v>170</v>
      </c>
      <c r="C57" s="254" t="s">
        <v>88</v>
      </c>
      <c r="D57" s="261" t="s">
        <v>47</v>
      </c>
      <c r="E57" s="262">
        <v>0.47</v>
      </c>
      <c r="F57" s="263">
        <f>F51*E57</f>
        <v>3.76</v>
      </c>
      <c r="G57" s="264"/>
      <c r="H57" s="229"/>
      <c r="I57" s="215">
        <v>0</v>
      </c>
      <c r="J57" s="227">
        <f t="shared" si="5"/>
        <v>0</v>
      </c>
      <c r="K57" s="228"/>
      <c r="L57" s="229"/>
      <c r="M57" s="226">
        <f t="shared" si="1"/>
        <v>0</v>
      </c>
    </row>
    <row r="58" spans="1:13" s="210" customFormat="1" ht="34.9" customHeight="1" x14ac:dyDescent="0.25">
      <c r="A58" s="189">
        <v>8</v>
      </c>
      <c r="B58" s="210" t="s">
        <v>92</v>
      </c>
      <c r="C58" s="189" t="s">
        <v>93</v>
      </c>
      <c r="D58" s="210" t="s">
        <v>38</v>
      </c>
      <c r="E58" s="233"/>
      <c r="F58" s="209">
        <v>276</v>
      </c>
      <c r="G58" s="234"/>
      <c r="H58" s="235"/>
      <c r="I58" s="208"/>
      <c r="K58" s="234"/>
      <c r="L58" s="235"/>
      <c r="M58" s="215"/>
    </row>
    <row r="59" spans="1:13" s="212" customFormat="1" ht="13.5" x14ac:dyDescent="0.25">
      <c r="A59" s="211"/>
      <c r="B59" s="211"/>
      <c r="C59" s="211" t="s">
        <v>44</v>
      </c>
      <c r="D59" s="211" t="s">
        <v>40</v>
      </c>
      <c r="E59" s="213">
        <f>1/0.438</f>
        <v>2.2831050228310503</v>
      </c>
      <c r="F59" s="221">
        <f>F58*E59</f>
        <v>630.13698630136992</v>
      </c>
      <c r="G59" s="240">
        <v>0</v>
      </c>
      <c r="H59" s="214">
        <f>F59*G59</f>
        <v>0</v>
      </c>
      <c r="I59" s="216"/>
      <c r="J59" s="217"/>
      <c r="K59" s="216"/>
      <c r="L59" s="217"/>
      <c r="M59" s="215">
        <f t="shared" si="1"/>
        <v>0</v>
      </c>
    </row>
    <row r="60" spans="1:13" s="266" customFormat="1" ht="13.5" x14ac:dyDescent="0.25">
      <c r="A60" s="211"/>
      <c r="B60" s="212"/>
      <c r="C60" s="211" t="s">
        <v>81</v>
      </c>
      <c r="D60" s="212" t="s">
        <v>82</v>
      </c>
      <c r="E60" s="265">
        <v>1.0200000000000001E-3</v>
      </c>
      <c r="F60" s="221">
        <f>F58*E60</f>
        <v>0.28151999999999999</v>
      </c>
      <c r="G60" s="259"/>
      <c r="H60" s="217"/>
      <c r="I60" s="215">
        <v>0</v>
      </c>
      <c r="J60" s="214">
        <f>F60*I60</f>
        <v>0</v>
      </c>
      <c r="K60" s="216"/>
      <c r="L60" s="217"/>
      <c r="M60" s="215">
        <f t="shared" si="1"/>
        <v>0</v>
      </c>
    </row>
    <row r="61" spans="1:13" s="266" customFormat="1" ht="13.5" x14ac:dyDescent="0.25">
      <c r="A61" s="211"/>
      <c r="B61" s="212" t="s">
        <v>170</v>
      </c>
      <c r="C61" s="211" t="s">
        <v>88</v>
      </c>
      <c r="D61" s="212" t="s">
        <v>47</v>
      </c>
      <c r="E61" s="265">
        <v>3.5999999999999999E-3</v>
      </c>
      <c r="F61" s="221">
        <f>F58*E61</f>
        <v>0.99359999999999993</v>
      </c>
      <c r="G61" s="259"/>
      <c r="H61" s="217"/>
      <c r="I61" s="215">
        <v>0</v>
      </c>
      <c r="J61" s="214">
        <f>F61*I61</f>
        <v>0</v>
      </c>
      <c r="K61" s="216"/>
      <c r="L61" s="217"/>
      <c r="M61" s="215">
        <f t="shared" si="1"/>
        <v>0</v>
      </c>
    </row>
    <row r="62" spans="1:13" s="266" customFormat="1" ht="13.5" x14ac:dyDescent="0.25">
      <c r="A62" s="254"/>
      <c r="B62" s="254" t="s">
        <v>85</v>
      </c>
      <c r="C62" s="254" t="s">
        <v>86</v>
      </c>
      <c r="D62" s="261" t="s">
        <v>47</v>
      </c>
      <c r="E62" s="267">
        <v>8.6999999999999994E-3</v>
      </c>
      <c r="F62" s="263">
        <f>F58*E62</f>
        <v>2.4011999999999998</v>
      </c>
      <c r="G62" s="264"/>
      <c r="H62" s="229"/>
      <c r="I62" s="215">
        <v>0</v>
      </c>
      <c r="J62" s="227">
        <f>F62*I62</f>
        <v>0</v>
      </c>
      <c r="K62" s="228"/>
      <c r="L62" s="229"/>
      <c r="M62" s="226">
        <f t="shared" si="1"/>
        <v>0</v>
      </c>
    </row>
    <row r="63" spans="1:13" s="269" customFormat="1" ht="13.5" x14ac:dyDescent="0.25">
      <c r="A63" s="268">
        <v>9</v>
      </c>
      <c r="B63" s="268" t="s">
        <v>94</v>
      </c>
      <c r="C63" s="189" t="s">
        <v>95</v>
      </c>
      <c r="D63" s="269" t="s">
        <v>38</v>
      </c>
      <c r="E63" s="270"/>
      <c r="F63" s="271">
        <v>35</v>
      </c>
      <c r="G63" s="272"/>
      <c r="H63" s="272"/>
      <c r="I63" s="273"/>
      <c r="J63" s="274"/>
      <c r="K63" s="272"/>
      <c r="M63" s="215"/>
    </row>
    <row r="64" spans="1:13" s="266" customFormat="1" ht="13.5" x14ac:dyDescent="0.25">
      <c r="A64" s="211"/>
      <c r="C64" s="211" t="s">
        <v>44</v>
      </c>
      <c r="D64" s="211" t="s">
        <v>40</v>
      </c>
      <c r="E64" s="258">
        <v>1.1000000000000001</v>
      </c>
      <c r="F64" s="221">
        <f>F63*E64</f>
        <v>38.5</v>
      </c>
      <c r="G64" s="240">
        <v>0</v>
      </c>
      <c r="H64" s="214">
        <f>F64*G64</f>
        <v>0</v>
      </c>
      <c r="I64" s="259"/>
      <c r="J64" s="275"/>
      <c r="K64" s="259"/>
      <c r="L64" s="275"/>
      <c r="M64" s="215">
        <f t="shared" si="1"/>
        <v>0</v>
      </c>
    </row>
    <row r="65" spans="1:13" s="266" customFormat="1" ht="13.5" x14ac:dyDescent="0.25">
      <c r="A65" s="254"/>
      <c r="B65" s="261"/>
      <c r="C65" s="254" t="s">
        <v>63</v>
      </c>
      <c r="D65" s="261" t="s">
        <v>9</v>
      </c>
      <c r="E65" s="262">
        <v>0.10299999999999999</v>
      </c>
      <c r="F65" s="263">
        <f>F63*E65</f>
        <v>3.605</v>
      </c>
      <c r="G65" s="226"/>
      <c r="H65" s="276"/>
      <c r="I65" s="254"/>
      <c r="J65" s="261"/>
      <c r="K65" s="226">
        <v>0</v>
      </c>
      <c r="L65" s="227">
        <f>F65*K65</f>
        <v>0</v>
      </c>
      <c r="M65" s="226">
        <f t="shared" si="1"/>
        <v>0</v>
      </c>
    </row>
    <row r="66" spans="1:13" s="210" customFormat="1" ht="40.5" x14ac:dyDescent="0.25">
      <c r="A66" s="189">
        <v>10</v>
      </c>
      <c r="B66" s="188" t="s">
        <v>41</v>
      </c>
      <c r="C66" s="204" t="s">
        <v>171</v>
      </c>
      <c r="D66" s="204" t="s">
        <v>43</v>
      </c>
      <c r="E66" s="204"/>
      <c r="F66" s="205">
        <v>70</v>
      </c>
      <c r="G66" s="206"/>
      <c r="H66" s="207"/>
      <c r="I66" s="206"/>
      <c r="J66" s="207"/>
      <c r="K66" s="208"/>
      <c r="L66" s="209"/>
      <c r="M66" s="215"/>
    </row>
    <row r="67" spans="1:13" s="212" customFormat="1" ht="13.5" x14ac:dyDescent="0.25">
      <c r="A67" s="211"/>
      <c r="C67" s="211" t="s">
        <v>44</v>
      </c>
      <c r="D67" s="211" t="s">
        <v>40</v>
      </c>
      <c r="E67" s="213">
        <f>(1.29)/0.438</f>
        <v>2.945205479452055</v>
      </c>
      <c r="F67" s="214">
        <f>F66*E67</f>
        <v>206.16438356164386</v>
      </c>
      <c r="G67" s="240">
        <v>0</v>
      </c>
      <c r="H67" s="214">
        <f>F67*G67</f>
        <v>0</v>
      </c>
      <c r="I67" s="216"/>
      <c r="J67" s="217"/>
      <c r="K67" s="216"/>
      <c r="L67" s="217"/>
      <c r="M67" s="215">
        <f t="shared" si="1"/>
        <v>0</v>
      </c>
    </row>
    <row r="68" spans="1:13" s="212" customFormat="1" ht="13.5" x14ac:dyDescent="0.25">
      <c r="A68" s="218"/>
      <c r="B68" s="219" t="s">
        <v>45</v>
      </c>
      <c r="C68" s="218" t="s">
        <v>46</v>
      </c>
      <c r="D68" s="218" t="s">
        <v>47</v>
      </c>
      <c r="E68" s="220" t="s">
        <v>48</v>
      </c>
      <c r="F68" s="214">
        <v>1.6</v>
      </c>
      <c r="G68" s="216"/>
      <c r="H68" s="217"/>
      <c r="I68" s="215">
        <v>0</v>
      </c>
      <c r="J68" s="214">
        <f t="shared" ref="J68:J72" si="6">F68*I68</f>
        <v>0</v>
      </c>
      <c r="K68" s="216"/>
      <c r="L68" s="217"/>
      <c r="M68" s="215">
        <f t="shared" si="1"/>
        <v>0</v>
      </c>
    </row>
    <row r="69" spans="1:13" s="212" customFormat="1" ht="13.5" x14ac:dyDescent="0.25">
      <c r="A69" s="218"/>
      <c r="B69" s="218" t="s">
        <v>52</v>
      </c>
      <c r="C69" s="218" t="s">
        <v>53</v>
      </c>
      <c r="D69" s="218" t="s">
        <v>54</v>
      </c>
      <c r="E69" s="218">
        <v>3.4000000000000002E-2</v>
      </c>
      <c r="F69" s="223">
        <f>F66*E69</f>
        <v>2.3800000000000003</v>
      </c>
      <c r="G69" s="223"/>
      <c r="H69" s="223"/>
      <c r="I69" s="215">
        <v>0</v>
      </c>
      <c r="J69" s="223">
        <f t="shared" si="6"/>
        <v>0</v>
      </c>
      <c r="K69" s="224"/>
      <c r="L69" s="224"/>
      <c r="M69" s="215">
        <f t="shared" si="1"/>
        <v>0</v>
      </c>
    </row>
    <row r="70" spans="1:13" s="212" customFormat="1" ht="13.5" x14ac:dyDescent="0.25">
      <c r="A70" s="218"/>
      <c r="B70" s="218"/>
      <c r="C70" s="218" t="s">
        <v>55</v>
      </c>
      <c r="D70" s="218" t="s">
        <v>38</v>
      </c>
      <c r="E70" s="211">
        <v>0.04</v>
      </c>
      <c r="F70" s="214">
        <f>F66*E70</f>
        <v>2.8000000000000003</v>
      </c>
      <c r="G70" s="216"/>
      <c r="H70" s="217"/>
      <c r="I70" s="215">
        <v>0</v>
      </c>
      <c r="J70" s="214">
        <f t="shared" si="6"/>
        <v>0</v>
      </c>
      <c r="K70" s="216"/>
      <c r="L70" s="217"/>
      <c r="M70" s="215">
        <f t="shared" si="1"/>
        <v>0</v>
      </c>
    </row>
    <row r="71" spans="1:13" s="212" customFormat="1" ht="13.5" x14ac:dyDescent="0.25">
      <c r="A71" s="218"/>
      <c r="B71" s="218" t="s">
        <v>56</v>
      </c>
      <c r="C71" s="218" t="s">
        <v>57</v>
      </c>
      <c r="D71" s="218" t="s">
        <v>38</v>
      </c>
      <c r="E71" s="211">
        <v>0.16</v>
      </c>
      <c r="F71" s="214">
        <f>F66*E71</f>
        <v>11.200000000000001</v>
      </c>
      <c r="G71" s="216"/>
      <c r="H71" s="217"/>
      <c r="I71" s="215">
        <v>0</v>
      </c>
      <c r="J71" s="214">
        <f t="shared" si="6"/>
        <v>0</v>
      </c>
      <c r="K71" s="216"/>
      <c r="L71" s="217"/>
      <c r="M71" s="215">
        <f t="shared" si="1"/>
        <v>0</v>
      </c>
    </row>
    <row r="72" spans="1:13" s="212" customFormat="1" ht="13.5" x14ac:dyDescent="0.25">
      <c r="A72" s="225"/>
      <c r="B72" s="225"/>
      <c r="C72" s="225" t="s">
        <v>58</v>
      </c>
      <c r="D72" s="225" t="s">
        <v>54</v>
      </c>
      <c r="E72" s="226">
        <v>0.1</v>
      </c>
      <c r="F72" s="227">
        <f>F66*E72</f>
        <v>7</v>
      </c>
      <c r="G72" s="228"/>
      <c r="H72" s="229"/>
      <c r="I72" s="215">
        <v>0</v>
      </c>
      <c r="J72" s="227">
        <f t="shared" si="6"/>
        <v>0</v>
      </c>
      <c r="K72" s="228"/>
      <c r="L72" s="229"/>
      <c r="M72" s="226">
        <f t="shared" si="1"/>
        <v>0</v>
      </c>
    </row>
    <row r="73" spans="1:13" s="190" customFormat="1" ht="32.25" customHeight="1" x14ac:dyDescent="0.25">
      <c r="A73" s="187">
        <v>11</v>
      </c>
      <c r="B73" s="188" t="s">
        <v>97</v>
      </c>
      <c r="C73" s="189" t="s">
        <v>98</v>
      </c>
      <c r="D73" s="190" t="s">
        <v>38</v>
      </c>
      <c r="E73" s="191"/>
      <c r="F73" s="192">
        <v>53</v>
      </c>
      <c r="G73" s="193"/>
      <c r="H73" s="194"/>
      <c r="I73" s="193"/>
      <c r="J73" s="194"/>
      <c r="K73" s="193"/>
      <c r="L73" s="194"/>
      <c r="M73" s="215"/>
    </row>
    <row r="74" spans="1:13" s="203" customFormat="1" ht="18" customHeight="1" x14ac:dyDescent="0.25">
      <c r="A74" s="236"/>
      <c r="B74" s="236"/>
      <c r="C74" s="236" t="s">
        <v>44</v>
      </c>
      <c r="D74" s="203" t="s">
        <v>40</v>
      </c>
      <c r="E74" s="213">
        <f>(0.77)/0.438</f>
        <v>1.7579908675799087</v>
      </c>
      <c r="F74" s="241">
        <f>F73*E74</f>
        <v>93.173515981735164</v>
      </c>
      <c r="G74" s="240">
        <v>0</v>
      </c>
      <c r="H74" s="241">
        <f>F74*G74</f>
        <v>0</v>
      </c>
      <c r="I74" s="242"/>
      <c r="J74" s="243"/>
      <c r="K74" s="242"/>
      <c r="L74" s="243"/>
      <c r="M74" s="215">
        <f t="shared" si="1"/>
        <v>0</v>
      </c>
    </row>
    <row r="75" spans="1:13" s="203" customFormat="1" ht="18" customHeight="1" x14ac:dyDescent="0.25">
      <c r="A75" s="236"/>
      <c r="B75" s="219" t="s">
        <v>45</v>
      </c>
      <c r="C75" s="236" t="s">
        <v>99</v>
      </c>
      <c r="D75" s="203" t="s">
        <v>47</v>
      </c>
      <c r="E75" s="253" t="s">
        <v>48</v>
      </c>
      <c r="F75" s="239">
        <v>4.2</v>
      </c>
      <c r="G75" s="246"/>
      <c r="H75" s="243"/>
      <c r="I75" s="215">
        <v>0</v>
      </c>
      <c r="J75" s="241">
        <f>F75*I75</f>
        <v>0</v>
      </c>
      <c r="K75" s="242"/>
      <c r="L75" s="243"/>
      <c r="M75" s="215">
        <f t="shared" si="1"/>
        <v>0</v>
      </c>
    </row>
    <row r="76" spans="1:13" s="203" customFormat="1" ht="18" customHeight="1" x14ac:dyDescent="0.25">
      <c r="A76" s="195"/>
      <c r="B76" s="196" t="s">
        <v>52</v>
      </c>
      <c r="C76" s="195" t="s">
        <v>53</v>
      </c>
      <c r="D76" s="196" t="s">
        <v>54</v>
      </c>
      <c r="E76" s="277">
        <v>0.06</v>
      </c>
      <c r="F76" s="250">
        <f>F73*E76</f>
        <v>3.1799999999999997</v>
      </c>
      <c r="G76" s="251"/>
      <c r="H76" s="201"/>
      <c r="I76" s="215">
        <v>0</v>
      </c>
      <c r="J76" s="198">
        <f>F76*I76</f>
        <v>0</v>
      </c>
      <c r="K76" s="200"/>
      <c r="L76" s="201"/>
      <c r="M76" s="226">
        <f t="shared" si="1"/>
        <v>0</v>
      </c>
    </row>
    <row r="77" spans="1:13" s="269" customFormat="1" ht="13.5" x14ac:dyDescent="0.25">
      <c r="A77" s="268">
        <v>12</v>
      </c>
      <c r="B77" s="268" t="s">
        <v>100</v>
      </c>
      <c r="C77" s="268" t="s">
        <v>101</v>
      </c>
      <c r="D77" s="269" t="s">
        <v>38</v>
      </c>
      <c r="E77" s="270"/>
      <c r="F77" s="271">
        <v>1.5</v>
      </c>
      <c r="G77" s="272"/>
      <c r="I77" s="273"/>
      <c r="J77" s="274"/>
      <c r="K77" s="273"/>
      <c r="L77" s="274"/>
      <c r="M77" s="215"/>
    </row>
    <row r="78" spans="1:13" s="212" customFormat="1" ht="13.5" x14ac:dyDescent="0.25">
      <c r="A78" s="211"/>
      <c r="C78" s="211" t="s">
        <v>44</v>
      </c>
      <c r="D78" s="211" t="s">
        <v>40</v>
      </c>
      <c r="E78" s="258">
        <v>0.91400000000000003</v>
      </c>
      <c r="F78" s="221">
        <f>F77*E78</f>
        <v>1.371</v>
      </c>
      <c r="G78" s="240">
        <v>0</v>
      </c>
      <c r="H78" s="214">
        <f>F78*G78</f>
        <v>0</v>
      </c>
      <c r="I78" s="259"/>
      <c r="J78" s="275"/>
      <c r="K78" s="259"/>
      <c r="L78" s="275"/>
      <c r="M78" s="215">
        <f t="shared" si="1"/>
        <v>0</v>
      </c>
    </row>
    <row r="79" spans="1:13" s="212" customFormat="1" ht="13.5" x14ac:dyDescent="0.25">
      <c r="A79" s="211"/>
      <c r="C79" s="211" t="s">
        <v>63</v>
      </c>
      <c r="D79" s="212" t="s">
        <v>9</v>
      </c>
      <c r="E79" s="258">
        <v>0.35299999999999998</v>
      </c>
      <c r="F79" s="221">
        <f>F77*E79</f>
        <v>0.52949999999999997</v>
      </c>
      <c r="G79" s="259"/>
      <c r="H79" s="275"/>
      <c r="I79" s="259"/>
      <c r="J79" s="275"/>
      <c r="K79" s="215">
        <v>0</v>
      </c>
      <c r="L79" s="212">
        <f>F79*K79</f>
        <v>0</v>
      </c>
      <c r="M79" s="215">
        <f t="shared" si="1"/>
        <v>0</v>
      </c>
    </row>
    <row r="80" spans="1:13" s="212" customFormat="1" ht="13.5" x14ac:dyDescent="0.25">
      <c r="A80" s="211"/>
      <c r="B80" s="212" t="s">
        <v>172</v>
      </c>
      <c r="C80" s="211" t="s">
        <v>103</v>
      </c>
      <c r="D80" s="212" t="s">
        <v>38</v>
      </c>
      <c r="E80" s="258">
        <v>1</v>
      </c>
      <c r="F80" s="221">
        <f>F77*E80</f>
        <v>1.5</v>
      </c>
      <c r="G80" s="259"/>
      <c r="H80" s="275"/>
      <c r="I80" s="215">
        <v>0</v>
      </c>
      <c r="J80" s="214">
        <f>F80*I80</f>
        <v>0</v>
      </c>
      <c r="K80" s="259"/>
      <c r="L80" s="275"/>
      <c r="M80" s="215">
        <f t="shared" si="1"/>
        <v>0</v>
      </c>
    </row>
    <row r="81" spans="1:13" s="212" customFormat="1" ht="13.5" x14ac:dyDescent="0.25">
      <c r="A81" s="211"/>
      <c r="C81" s="211" t="s">
        <v>104</v>
      </c>
      <c r="D81" s="212" t="s">
        <v>105</v>
      </c>
      <c r="E81" s="278" t="s">
        <v>48</v>
      </c>
      <c r="F81" s="221">
        <v>1</v>
      </c>
      <c r="G81" s="259"/>
      <c r="H81" s="275"/>
      <c r="I81" s="215">
        <v>0</v>
      </c>
      <c r="J81" s="214">
        <f>F81*I81</f>
        <v>0</v>
      </c>
      <c r="K81" s="259"/>
      <c r="L81" s="275"/>
      <c r="M81" s="215">
        <f t="shared" si="1"/>
        <v>0</v>
      </c>
    </row>
    <row r="82" spans="1:13" s="212" customFormat="1" ht="13.5" x14ac:dyDescent="0.25">
      <c r="A82" s="254"/>
      <c r="B82" s="261"/>
      <c r="C82" s="254" t="s">
        <v>106</v>
      </c>
      <c r="D82" s="261" t="s">
        <v>9</v>
      </c>
      <c r="E82" s="262">
        <v>0.27600000000000002</v>
      </c>
      <c r="F82" s="263">
        <f>F77*E82</f>
        <v>0.41400000000000003</v>
      </c>
      <c r="G82" s="264"/>
      <c r="H82" s="279"/>
      <c r="I82" s="215">
        <v>0</v>
      </c>
      <c r="J82" s="227">
        <f>F82*I82</f>
        <v>0</v>
      </c>
      <c r="K82" s="264"/>
      <c r="L82" s="279"/>
      <c r="M82" s="226">
        <f t="shared" si="1"/>
        <v>0</v>
      </c>
    </row>
    <row r="83" spans="1:13" s="210" customFormat="1" ht="30" customHeight="1" x14ac:dyDescent="0.25">
      <c r="A83" s="189">
        <v>13</v>
      </c>
      <c r="B83" s="280" t="s">
        <v>107</v>
      </c>
      <c r="C83" s="204" t="s">
        <v>108</v>
      </c>
      <c r="D83" s="204" t="s">
        <v>43</v>
      </c>
      <c r="E83" s="204"/>
      <c r="F83" s="205">
        <v>26</v>
      </c>
      <c r="G83" s="206"/>
      <c r="H83" s="207"/>
      <c r="I83" s="206"/>
      <c r="J83" s="207"/>
      <c r="K83" s="208"/>
      <c r="L83" s="209"/>
      <c r="M83" s="215"/>
    </row>
    <row r="84" spans="1:13" s="212" customFormat="1" ht="13.5" x14ac:dyDescent="0.25">
      <c r="A84" s="211"/>
      <c r="C84" s="211" t="s">
        <v>44</v>
      </c>
      <c r="D84" s="211" t="s">
        <v>40</v>
      </c>
      <c r="E84" s="258">
        <f>(0.82+0.025*3.5)/0.6005</f>
        <v>1.5112406328059949</v>
      </c>
      <c r="F84" s="214">
        <f>F83*E84</f>
        <v>39.292256452955868</v>
      </c>
      <c r="G84" s="240">
        <v>0</v>
      </c>
      <c r="H84" s="214">
        <f>F84*G84</f>
        <v>0</v>
      </c>
      <c r="I84" s="216"/>
      <c r="J84" s="217"/>
      <c r="K84" s="216"/>
      <c r="L84" s="217"/>
      <c r="M84" s="215">
        <f t="shared" ref="M84:M138" si="7">H84+J84+L84</f>
        <v>0</v>
      </c>
    </row>
    <row r="85" spans="1:13" s="212" customFormat="1" ht="13.5" x14ac:dyDescent="0.25">
      <c r="A85" s="218"/>
      <c r="B85" s="219" t="s">
        <v>45</v>
      </c>
      <c r="C85" s="218" t="s">
        <v>109</v>
      </c>
      <c r="D85" s="218" t="s">
        <v>47</v>
      </c>
      <c r="E85" s="220" t="s">
        <v>48</v>
      </c>
      <c r="F85" s="214">
        <v>1.3</v>
      </c>
      <c r="G85" s="216"/>
      <c r="H85" s="217"/>
      <c r="I85" s="215">
        <v>0</v>
      </c>
      <c r="J85" s="214">
        <f t="shared" ref="J85:J88" si="8">F85*I85</f>
        <v>0</v>
      </c>
      <c r="K85" s="216"/>
      <c r="L85" s="217"/>
      <c r="M85" s="215">
        <f t="shared" si="7"/>
        <v>0</v>
      </c>
    </row>
    <row r="86" spans="1:13" s="212" customFormat="1" ht="13.5" x14ac:dyDescent="0.25">
      <c r="A86" s="218"/>
      <c r="B86" s="218" t="s">
        <v>52</v>
      </c>
      <c r="C86" s="218" t="s">
        <v>53</v>
      </c>
      <c r="D86" s="218" t="s">
        <v>54</v>
      </c>
      <c r="E86" s="211">
        <v>6.3E-2</v>
      </c>
      <c r="F86" s="214">
        <f>F83*E86</f>
        <v>1.6379999999999999</v>
      </c>
      <c r="G86" s="215"/>
      <c r="H86" s="214"/>
      <c r="I86" s="215">
        <v>0</v>
      </c>
      <c r="J86" s="214">
        <f t="shared" si="8"/>
        <v>0</v>
      </c>
      <c r="K86" s="216"/>
      <c r="L86" s="217"/>
      <c r="M86" s="215">
        <f t="shared" si="7"/>
        <v>0</v>
      </c>
    </row>
    <row r="87" spans="1:13" s="212" customFormat="1" ht="13.5" x14ac:dyDescent="0.25">
      <c r="A87" s="218"/>
      <c r="B87" s="218" t="s">
        <v>56</v>
      </c>
      <c r="C87" s="218" t="s">
        <v>57</v>
      </c>
      <c r="D87" s="218" t="s">
        <v>38</v>
      </c>
      <c r="E87" s="211">
        <v>0.14000000000000001</v>
      </c>
      <c r="F87" s="214">
        <f>F83*E87</f>
        <v>3.6400000000000006</v>
      </c>
      <c r="G87" s="216"/>
      <c r="H87" s="217"/>
      <c r="I87" s="215">
        <v>0</v>
      </c>
      <c r="J87" s="214">
        <f t="shared" si="8"/>
        <v>0</v>
      </c>
      <c r="K87" s="216"/>
      <c r="L87" s="217"/>
      <c r="M87" s="215">
        <f t="shared" si="7"/>
        <v>0</v>
      </c>
    </row>
    <row r="88" spans="1:13" s="212" customFormat="1" ht="13.5" x14ac:dyDescent="0.25">
      <c r="A88" s="225"/>
      <c r="B88" s="225"/>
      <c r="C88" s="225" t="s">
        <v>58</v>
      </c>
      <c r="D88" s="225" t="s">
        <v>54</v>
      </c>
      <c r="E88" s="254">
        <v>0.1</v>
      </c>
      <c r="F88" s="227">
        <f>F83*E88</f>
        <v>2.6</v>
      </c>
      <c r="G88" s="228"/>
      <c r="H88" s="229"/>
      <c r="I88" s="215">
        <v>0</v>
      </c>
      <c r="J88" s="227">
        <f t="shared" si="8"/>
        <v>0</v>
      </c>
      <c r="K88" s="228"/>
      <c r="L88" s="229"/>
      <c r="M88" s="226">
        <f t="shared" si="7"/>
        <v>0</v>
      </c>
    </row>
    <row r="89" spans="1:13" s="190" customFormat="1" ht="18.75" customHeight="1" x14ac:dyDescent="0.25">
      <c r="A89" s="281">
        <v>14</v>
      </c>
      <c r="B89" s="281" t="s">
        <v>110</v>
      </c>
      <c r="C89" s="282" t="s">
        <v>111</v>
      </c>
      <c r="D89" s="282" t="s">
        <v>47</v>
      </c>
      <c r="E89" s="282"/>
      <c r="F89" s="283">
        <v>0.48</v>
      </c>
      <c r="G89" s="284"/>
      <c r="H89" s="285"/>
      <c r="I89" s="284"/>
      <c r="J89" s="285"/>
      <c r="K89" s="286"/>
      <c r="L89" s="192"/>
      <c r="M89" s="215"/>
    </row>
    <row r="90" spans="1:13" s="212" customFormat="1" ht="13.5" x14ac:dyDescent="0.25">
      <c r="A90" s="211"/>
      <c r="C90" s="211" t="s">
        <v>44</v>
      </c>
      <c r="D90" s="211" t="s">
        <v>40</v>
      </c>
      <c r="E90" s="258">
        <v>23.8</v>
      </c>
      <c r="F90" s="214">
        <f>F89*E90</f>
        <v>11.423999999999999</v>
      </c>
      <c r="G90" s="240">
        <v>0</v>
      </c>
      <c r="H90" s="214">
        <f>F90*G90</f>
        <v>0</v>
      </c>
      <c r="I90" s="216"/>
      <c r="J90" s="217"/>
      <c r="K90" s="216"/>
      <c r="L90" s="217"/>
      <c r="M90" s="215">
        <f t="shared" si="7"/>
        <v>0</v>
      </c>
    </row>
    <row r="91" spans="1:13" s="212" customFormat="1" ht="13.5" x14ac:dyDescent="0.25">
      <c r="A91" s="211"/>
      <c r="C91" s="211" t="s">
        <v>63</v>
      </c>
      <c r="D91" s="212" t="s">
        <v>9</v>
      </c>
      <c r="E91" s="258">
        <v>2.1</v>
      </c>
      <c r="F91" s="214">
        <f>F89*E91</f>
        <v>1.008</v>
      </c>
      <c r="G91" s="216"/>
      <c r="H91" s="217"/>
      <c r="I91" s="216"/>
      <c r="J91" s="217"/>
      <c r="K91" s="215">
        <v>0</v>
      </c>
      <c r="L91" s="214">
        <f>F91*K91</f>
        <v>0</v>
      </c>
      <c r="M91" s="215">
        <f t="shared" si="7"/>
        <v>0</v>
      </c>
    </row>
    <row r="92" spans="1:13" s="292" customFormat="1" ht="27" x14ac:dyDescent="0.25">
      <c r="A92" s="287"/>
      <c r="B92" s="287"/>
      <c r="C92" s="287" t="s">
        <v>112</v>
      </c>
      <c r="D92" s="287" t="s">
        <v>47</v>
      </c>
      <c r="E92" s="288">
        <v>1.05</v>
      </c>
      <c r="F92" s="289">
        <f>F89*E92</f>
        <v>0.504</v>
      </c>
      <c r="G92" s="290"/>
      <c r="H92" s="291"/>
      <c r="I92" s="215">
        <v>0</v>
      </c>
      <c r="J92" s="289">
        <f t="shared" ref="J92:J95" si="9">F92*I92</f>
        <v>0</v>
      </c>
      <c r="K92" s="290"/>
      <c r="L92" s="291"/>
      <c r="M92" s="288">
        <f t="shared" si="7"/>
        <v>0</v>
      </c>
    </row>
    <row r="93" spans="1:13" s="212" customFormat="1" ht="13.5" x14ac:dyDescent="0.25">
      <c r="A93" s="218"/>
      <c r="B93" s="218" t="s">
        <v>52</v>
      </c>
      <c r="C93" s="218" t="s">
        <v>53</v>
      </c>
      <c r="D93" s="218" t="s">
        <v>54</v>
      </c>
      <c r="E93" s="211">
        <v>7.2</v>
      </c>
      <c r="F93" s="214">
        <f>F89*E93</f>
        <v>3.456</v>
      </c>
      <c r="G93" s="215"/>
      <c r="H93" s="214"/>
      <c r="I93" s="215">
        <v>0</v>
      </c>
      <c r="J93" s="214">
        <f t="shared" si="9"/>
        <v>0</v>
      </c>
      <c r="K93" s="216"/>
      <c r="L93" s="217"/>
      <c r="M93" s="215">
        <f t="shared" si="7"/>
        <v>0</v>
      </c>
    </row>
    <row r="94" spans="1:13" s="212" customFormat="1" ht="13.5" x14ac:dyDescent="0.25">
      <c r="A94" s="218"/>
      <c r="B94" s="218" t="s">
        <v>113</v>
      </c>
      <c r="C94" s="218" t="s">
        <v>114</v>
      </c>
      <c r="D94" s="218" t="s">
        <v>54</v>
      </c>
      <c r="E94" s="211">
        <v>4.38</v>
      </c>
      <c r="F94" s="214">
        <f>F89*E94</f>
        <v>2.1023999999999998</v>
      </c>
      <c r="G94" s="216"/>
      <c r="H94" s="217"/>
      <c r="I94" s="215">
        <v>0</v>
      </c>
      <c r="J94" s="214">
        <f t="shared" si="9"/>
        <v>0</v>
      </c>
      <c r="K94" s="216"/>
      <c r="L94" s="217"/>
      <c r="M94" s="215">
        <f t="shared" si="7"/>
        <v>0</v>
      </c>
    </row>
    <row r="95" spans="1:13" s="212" customFormat="1" ht="13.5" x14ac:dyDescent="0.25">
      <c r="A95" s="254"/>
      <c r="B95" s="261"/>
      <c r="C95" s="254" t="s">
        <v>106</v>
      </c>
      <c r="D95" s="261" t="s">
        <v>9</v>
      </c>
      <c r="E95" s="262">
        <v>3.44</v>
      </c>
      <c r="F95" s="227">
        <f>F89*E95</f>
        <v>1.6512</v>
      </c>
      <c r="G95" s="228"/>
      <c r="H95" s="229"/>
      <c r="I95" s="215">
        <v>0</v>
      </c>
      <c r="J95" s="227">
        <f t="shared" si="9"/>
        <v>0</v>
      </c>
      <c r="K95" s="228"/>
      <c r="L95" s="229"/>
      <c r="M95" s="226">
        <f t="shared" si="7"/>
        <v>0</v>
      </c>
    </row>
    <row r="96" spans="1:13" s="210" customFormat="1" ht="33" customHeight="1" x14ac:dyDescent="0.25">
      <c r="A96" s="189">
        <v>15</v>
      </c>
      <c r="B96" s="189" t="s">
        <v>115</v>
      </c>
      <c r="C96" s="204" t="s">
        <v>116</v>
      </c>
      <c r="D96" s="204" t="s">
        <v>47</v>
      </c>
      <c r="E96" s="204"/>
      <c r="F96" s="205">
        <v>0.2</v>
      </c>
      <c r="G96" s="206"/>
      <c r="H96" s="207"/>
      <c r="I96" s="206"/>
      <c r="J96" s="207"/>
      <c r="K96" s="208"/>
      <c r="L96" s="209"/>
      <c r="M96" s="215"/>
    </row>
    <row r="97" spans="1:15" s="212" customFormat="1" ht="13.5" x14ac:dyDescent="0.25">
      <c r="A97" s="211"/>
      <c r="C97" s="211" t="s">
        <v>44</v>
      </c>
      <c r="D97" s="211" t="s">
        <v>40</v>
      </c>
      <c r="E97" s="258">
        <v>23.8</v>
      </c>
      <c r="F97" s="214">
        <f>F96*E97</f>
        <v>4.7600000000000007</v>
      </c>
      <c r="G97" s="240">
        <v>0</v>
      </c>
      <c r="H97" s="214">
        <f>F97*G97</f>
        <v>0</v>
      </c>
      <c r="I97" s="216"/>
      <c r="J97" s="217"/>
      <c r="K97" s="216"/>
      <c r="L97" s="217"/>
      <c r="M97" s="215">
        <f t="shared" si="7"/>
        <v>0</v>
      </c>
    </row>
    <row r="98" spans="1:15" s="212" customFormat="1" ht="13.5" x14ac:dyDescent="0.25">
      <c r="A98" s="211"/>
      <c r="C98" s="211" t="s">
        <v>63</v>
      </c>
      <c r="D98" s="212" t="s">
        <v>9</v>
      </c>
      <c r="E98" s="258">
        <v>2.1</v>
      </c>
      <c r="F98" s="214">
        <f>F96*E98</f>
        <v>0.42000000000000004</v>
      </c>
      <c r="G98" s="216"/>
      <c r="H98" s="217"/>
      <c r="I98" s="216"/>
      <c r="J98" s="217"/>
      <c r="K98" s="215">
        <v>0</v>
      </c>
      <c r="L98" s="214">
        <f>F98*K98</f>
        <v>0</v>
      </c>
      <c r="M98" s="215">
        <f t="shared" si="7"/>
        <v>0</v>
      </c>
    </row>
    <row r="99" spans="1:15" s="212" customFormat="1" ht="13.5" x14ac:dyDescent="0.25">
      <c r="A99" s="218"/>
      <c r="B99" s="218" t="s">
        <v>117</v>
      </c>
      <c r="C99" s="218" t="s">
        <v>118</v>
      </c>
      <c r="D99" s="218" t="s">
        <v>47</v>
      </c>
      <c r="E99" s="215">
        <v>1.05</v>
      </c>
      <c r="F99" s="214">
        <f>F96*E99</f>
        <v>0.21000000000000002</v>
      </c>
      <c r="G99" s="216"/>
      <c r="H99" s="217"/>
      <c r="I99" s="215">
        <v>0</v>
      </c>
      <c r="J99" s="214">
        <f t="shared" ref="J99:J103" si="10">F99*I99</f>
        <v>0</v>
      </c>
      <c r="K99" s="216"/>
      <c r="L99" s="217"/>
      <c r="M99" s="215">
        <f t="shared" si="7"/>
        <v>0</v>
      </c>
    </row>
    <row r="100" spans="1:15" s="212" customFormat="1" ht="13.5" x14ac:dyDescent="0.25">
      <c r="A100" s="218"/>
      <c r="B100" s="218" t="s">
        <v>52</v>
      </c>
      <c r="C100" s="218" t="s">
        <v>53</v>
      </c>
      <c r="D100" s="218" t="s">
        <v>54</v>
      </c>
      <c r="E100" s="211">
        <v>7.2</v>
      </c>
      <c r="F100" s="214">
        <f>F96*E100</f>
        <v>1.4400000000000002</v>
      </c>
      <c r="G100" s="215"/>
      <c r="H100" s="214"/>
      <c r="I100" s="215">
        <v>0</v>
      </c>
      <c r="J100" s="214">
        <f t="shared" si="10"/>
        <v>0</v>
      </c>
      <c r="K100" s="216"/>
      <c r="L100" s="217"/>
      <c r="M100" s="215">
        <f t="shared" si="7"/>
        <v>0</v>
      </c>
    </row>
    <row r="101" spans="1:15" s="212" customFormat="1" ht="13.5" x14ac:dyDescent="0.25">
      <c r="A101" s="218"/>
      <c r="B101" s="218" t="s">
        <v>113</v>
      </c>
      <c r="C101" s="218" t="s">
        <v>114</v>
      </c>
      <c r="D101" s="218" t="s">
        <v>54</v>
      </c>
      <c r="E101" s="211">
        <v>4.38</v>
      </c>
      <c r="F101" s="214">
        <f>F96*E101</f>
        <v>0.876</v>
      </c>
      <c r="G101" s="216"/>
      <c r="H101" s="217"/>
      <c r="I101" s="215">
        <v>0</v>
      </c>
      <c r="J101" s="214">
        <f t="shared" si="10"/>
        <v>0</v>
      </c>
      <c r="K101" s="216"/>
      <c r="L101" s="217"/>
      <c r="M101" s="215">
        <f t="shared" si="7"/>
        <v>0</v>
      </c>
    </row>
    <row r="102" spans="1:15" s="212" customFormat="1" ht="13.5" x14ac:dyDescent="0.25">
      <c r="A102" s="218"/>
      <c r="B102" s="218" t="s">
        <v>56</v>
      </c>
      <c r="C102" s="218" t="s">
        <v>57</v>
      </c>
      <c r="D102" s="218" t="s">
        <v>38</v>
      </c>
      <c r="E102" s="211">
        <v>3.38</v>
      </c>
      <c r="F102" s="214">
        <f>F96*E102</f>
        <v>0.67600000000000005</v>
      </c>
      <c r="G102" s="216"/>
      <c r="H102" s="217"/>
      <c r="I102" s="215">
        <v>0</v>
      </c>
      <c r="J102" s="214">
        <f t="shared" si="10"/>
        <v>0</v>
      </c>
      <c r="K102" s="216"/>
      <c r="L102" s="217"/>
      <c r="M102" s="215">
        <f t="shared" si="7"/>
        <v>0</v>
      </c>
    </row>
    <row r="103" spans="1:15" s="212" customFormat="1" ht="13.5" x14ac:dyDescent="0.25">
      <c r="A103" s="254"/>
      <c r="B103" s="261"/>
      <c r="C103" s="254" t="s">
        <v>106</v>
      </c>
      <c r="D103" s="261" t="s">
        <v>9</v>
      </c>
      <c r="E103" s="262">
        <v>3.44</v>
      </c>
      <c r="F103" s="227">
        <f>F96*E103</f>
        <v>0.68800000000000006</v>
      </c>
      <c r="G103" s="228"/>
      <c r="H103" s="229"/>
      <c r="I103" s="215">
        <v>0</v>
      </c>
      <c r="J103" s="227">
        <f t="shared" si="10"/>
        <v>0</v>
      </c>
      <c r="K103" s="228"/>
      <c r="L103" s="229"/>
      <c r="M103" s="226">
        <f t="shared" si="7"/>
        <v>0</v>
      </c>
    </row>
    <row r="104" spans="1:15" s="210" customFormat="1" ht="13.5" x14ac:dyDescent="0.25">
      <c r="A104" s="230">
        <v>16</v>
      </c>
      <c r="B104" s="189" t="s">
        <v>120</v>
      </c>
      <c r="C104" s="189" t="s">
        <v>121</v>
      </c>
      <c r="D104" s="210" t="s">
        <v>38</v>
      </c>
      <c r="E104" s="233"/>
      <c r="F104" s="209">
        <v>172</v>
      </c>
      <c r="G104" s="234"/>
      <c r="H104" s="235"/>
      <c r="I104" s="234"/>
      <c r="J104" s="235"/>
      <c r="K104" s="208"/>
      <c r="M104" s="215"/>
    </row>
    <row r="105" spans="1:15" s="212" customFormat="1" ht="13.5" x14ac:dyDescent="0.25">
      <c r="A105" s="211"/>
      <c r="C105" s="211" t="s">
        <v>44</v>
      </c>
      <c r="D105" s="211" t="s">
        <v>40</v>
      </c>
      <c r="E105" s="265">
        <v>6.9199999999999998E-2</v>
      </c>
      <c r="F105" s="221">
        <f>F104*E105</f>
        <v>11.9024</v>
      </c>
      <c r="G105" s="240">
        <v>0</v>
      </c>
      <c r="H105" s="214">
        <f>F105*G105</f>
        <v>0</v>
      </c>
      <c r="I105" s="216"/>
      <c r="J105" s="217"/>
      <c r="K105" s="216"/>
      <c r="L105" s="217"/>
      <c r="M105" s="215">
        <f t="shared" si="7"/>
        <v>0</v>
      </c>
    </row>
    <row r="106" spans="1:15" s="212" customFormat="1" ht="13.5" x14ac:dyDescent="0.25">
      <c r="A106" s="211"/>
      <c r="C106" s="211" t="s">
        <v>63</v>
      </c>
      <c r="D106" s="212" t="s">
        <v>9</v>
      </c>
      <c r="E106" s="265">
        <v>1.6000000000000001E-3</v>
      </c>
      <c r="F106" s="221">
        <f>F104*E106</f>
        <v>0.2752</v>
      </c>
      <c r="G106" s="211"/>
      <c r="H106" s="214"/>
      <c r="I106" s="215"/>
      <c r="J106" s="214"/>
      <c r="K106" s="215">
        <v>0</v>
      </c>
      <c r="L106" s="214">
        <f>F106*K106</f>
        <v>0</v>
      </c>
      <c r="M106" s="215">
        <f t="shared" si="7"/>
        <v>0</v>
      </c>
    </row>
    <row r="107" spans="1:15" s="212" customFormat="1" ht="13.5" x14ac:dyDescent="0.25">
      <c r="A107" s="225"/>
      <c r="B107" s="225"/>
      <c r="C107" s="225" t="s">
        <v>122</v>
      </c>
      <c r="D107" s="225" t="s">
        <v>123</v>
      </c>
      <c r="E107" s="226">
        <v>0.34</v>
      </c>
      <c r="F107" s="227">
        <f>F104*E107</f>
        <v>58.480000000000004</v>
      </c>
      <c r="G107" s="228"/>
      <c r="H107" s="229"/>
      <c r="I107" s="215">
        <v>0</v>
      </c>
      <c r="J107" s="227">
        <f t="shared" ref="J107" si="11">F107*I107</f>
        <v>0</v>
      </c>
      <c r="K107" s="228"/>
      <c r="L107" s="229"/>
      <c r="M107" s="226">
        <f t="shared" si="7"/>
        <v>0</v>
      </c>
    </row>
    <row r="108" spans="1:15" s="294" customFormat="1" ht="36.75" customHeight="1" x14ac:dyDescent="0.25">
      <c r="A108" s="189">
        <v>17</v>
      </c>
      <c r="B108" s="210" t="s">
        <v>124</v>
      </c>
      <c r="C108" s="189" t="s">
        <v>173</v>
      </c>
      <c r="D108" s="210" t="s">
        <v>43</v>
      </c>
      <c r="E108" s="233"/>
      <c r="F108" s="209">
        <v>35</v>
      </c>
      <c r="G108" s="234"/>
      <c r="H108" s="235"/>
      <c r="I108" s="208"/>
      <c r="J108" s="210"/>
      <c r="K108" s="234"/>
      <c r="L108" s="235"/>
      <c r="M108" s="215"/>
    </row>
    <row r="109" spans="1:15" s="266" customFormat="1" ht="13.5" x14ac:dyDescent="0.25">
      <c r="A109" s="211"/>
      <c r="C109" s="211" t="s">
        <v>44</v>
      </c>
      <c r="D109" s="292" t="s">
        <v>40</v>
      </c>
      <c r="E109" s="258">
        <f>0.292/0.06005</f>
        <v>4.8626144879267272</v>
      </c>
      <c r="F109" s="221">
        <f>F108*E109</f>
        <v>170.19150707743546</v>
      </c>
      <c r="G109" s="240">
        <v>0</v>
      </c>
      <c r="H109" s="214">
        <f>F109*G109</f>
        <v>0</v>
      </c>
      <c r="I109" s="216"/>
      <c r="J109" s="217"/>
      <c r="K109" s="216"/>
      <c r="L109" s="217"/>
      <c r="M109" s="215">
        <f t="shared" si="7"/>
        <v>0</v>
      </c>
    </row>
    <row r="110" spans="1:15" s="297" customFormat="1" ht="13.5" x14ac:dyDescent="0.25">
      <c r="A110" s="237"/>
      <c r="B110" s="292"/>
      <c r="C110" s="237" t="s">
        <v>126</v>
      </c>
      <c r="D110" s="292" t="s">
        <v>54</v>
      </c>
      <c r="E110" s="213">
        <v>2.8</v>
      </c>
      <c r="F110" s="295">
        <f>F108*E110</f>
        <v>98</v>
      </c>
      <c r="G110" s="296"/>
      <c r="H110" s="291"/>
      <c r="I110" s="215">
        <v>0</v>
      </c>
      <c r="J110" s="289">
        <f>F110*I110</f>
        <v>0</v>
      </c>
      <c r="K110" s="290"/>
      <c r="L110" s="291"/>
      <c r="M110" s="215">
        <f t="shared" si="7"/>
        <v>0</v>
      </c>
      <c r="N110" s="360"/>
      <c r="O110" s="360"/>
    </row>
    <row r="111" spans="1:15" s="297" customFormat="1" ht="13.5" x14ac:dyDescent="0.25">
      <c r="A111" s="237"/>
      <c r="B111" s="212" t="s">
        <v>170</v>
      </c>
      <c r="C111" s="237" t="s">
        <v>88</v>
      </c>
      <c r="D111" s="292" t="s">
        <v>47</v>
      </c>
      <c r="E111" s="213">
        <v>0.01</v>
      </c>
      <c r="F111" s="295">
        <f>F108*E111</f>
        <v>0.35000000000000003</v>
      </c>
      <c r="G111" s="296"/>
      <c r="H111" s="291"/>
      <c r="I111" s="215">
        <v>0</v>
      </c>
      <c r="J111" s="289">
        <f>F111*I111</f>
        <v>0</v>
      </c>
      <c r="K111" s="290"/>
      <c r="L111" s="291"/>
      <c r="M111" s="215">
        <f t="shared" si="7"/>
        <v>0</v>
      </c>
    </row>
    <row r="112" spans="1:15" s="266" customFormat="1" ht="13.5" x14ac:dyDescent="0.25">
      <c r="A112" s="254"/>
      <c r="B112" s="254" t="s">
        <v>85</v>
      </c>
      <c r="C112" s="254" t="s">
        <v>86</v>
      </c>
      <c r="D112" s="261">
        <v>6.0000000000000001E-3</v>
      </c>
      <c r="E112" s="262">
        <v>4.0000000000000001E-3</v>
      </c>
      <c r="F112" s="263">
        <f>F108*E112</f>
        <v>0.14000000000000001</v>
      </c>
      <c r="G112" s="264"/>
      <c r="H112" s="229"/>
      <c r="I112" s="215">
        <v>0</v>
      </c>
      <c r="J112" s="227">
        <f>F112*I112</f>
        <v>0</v>
      </c>
      <c r="K112" s="228"/>
      <c r="L112" s="229"/>
      <c r="M112" s="226">
        <f t="shared" si="7"/>
        <v>0</v>
      </c>
    </row>
    <row r="113" spans="1:13" s="210" customFormat="1" ht="27" x14ac:dyDescent="0.25">
      <c r="A113" s="230">
        <v>18</v>
      </c>
      <c r="B113" s="189" t="s">
        <v>127</v>
      </c>
      <c r="C113" s="189" t="s">
        <v>128</v>
      </c>
      <c r="D113" s="210" t="s">
        <v>38</v>
      </c>
      <c r="E113" s="233"/>
      <c r="F113" s="209">
        <v>86</v>
      </c>
      <c r="G113" s="234"/>
      <c r="H113" s="235"/>
      <c r="I113" s="234"/>
      <c r="J113" s="235"/>
      <c r="K113" s="208"/>
      <c r="M113" s="215"/>
    </row>
    <row r="114" spans="1:13" s="212" customFormat="1" ht="13.5" x14ac:dyDescent="0.25">
      <c r="A114" s="211"/>
      <c r="B114" s="212" t="s">
        <v>129</v>
      </c>
      <c r="C114" s="211" t="s">
        <v>44</v>
      </c>
      <c r="D114" s="211" t="s">
        <v>38</v>
      </c>
      <c r="E114" s="258">
        <v>1</v>
      </c>
      <c r="F114" s="221">
        <f>F113*E114</f>
        <v>86</v>
      </c>
      <c r="G114" s="240">
        <v>0</v>
      </c>
      <c r="H114" s="214">
        <f>F114*G114</f>
        <v>0</v>
      </c>
      <c r="I114" s="216"/>
      <c r="J114" s="217"/>
      <c r="K114" s="216"/>
      <c r="L114" s="217"/>
      <c r="M114" s="215">
        <f t="shared" si="7"/>
        <v>0</v>
      </c>
    </row>
    <row r="115" spans="1:13" s="212" customFormat="1" ht="13.5" x14ac:dyDescent="0.25">
      <c r="A115" s="211"/>
      <c r="C115" s="211" t="s">
        <v>63</v>
      </c>
      <c r="D115" s="212" t="s">
        <v>9</v>
      </c>
      <c r="E115" s="265">
        <v>2.0999999999999999E-3</v>
      </c>
      <c r="F115" s="221">
        <f>F113*E115</f>
        <v>0.18059999999999998</v>
      </c>
      <c r="G115" s="211"/>
      <c r="H115" s="214"/>
      <c r="I115" s="215"/>
      <c r="J115" s="214"/>
      <c r="K115" s="215">
        <v>0</v>
      </c>
      <c r="L115" s="214">
        <f>F115*K115</f>
        <v>0</v>
      </c>
      <c r="M115" s="215">
        <f t="shared" si="7"/>
        <v>0</v>
      </c>
    </row>
    <row r="116" spans="1:13" s="212" customFormat="1" ht="13.5" x14ac:dyDescent="0.25">
      <c r="A116" s="254"/>
      <c r="B116" s="261"/>
      <c r="C116" s="254" t="s">
        <v>130</v>
      </c>
      <c r="D116" s="261" t="s">
        <v>54</v>
      </c>
      <c r="E116" s="262">
        <v>0.2</v>
      </c>
      <c r="F116" s="263">
        <f>F113*E116</f>
        <v>17.2</v>
      </c>
      <c r="G116" s="264"/>
      <c r="H116" s="229"/>
      <c r="I116" s="215">
        <v>0</v>
      </c>
      <c r="J116" s="227">
        <f>F116*I116</f>
        <v>0</v>
      </c>
      <c r="K116" s="228"/>
      <c r="L116" s="229"/>
      <c r="M116" s="226">
        <f t="shared" si="7"/>
        <v>0</v>
      </c>
    </row>
    <row r="117" spans="1:13" s="210" customFormat="1" ht="33" customHeight="1" x14ac:dyDescent="0.25">
      <c r="A117" s="189">
        <v>19</v>
      </c>
      <c r="B117" s="188" t="s">
        <v>131</v>
      </c>
      <c r="C117" s="204" t="s">
        <v>132</v>
      </c>
      <c r="D117" s="204" t="s">
        <v>133</v>
      </c>
      <c r="E117" s="204"/>
      <c r="F117" s="205">
        <v>900</v>
      </c>
      <c r="G117" s="206"/>
      <c r="H117" s="207"/>
      <c r="I117" s="206"/>
      <c r="J117" s="207"/>
      <c r="K117" s="208"/>
      <c r="L117" s="209"/>
      <c r="M117" s="215"/>
    </row>
    <row r="118" spans="1:13" s="212" customFormat="1" ht="13.5" x14ac:dyDescent="0.25">
      <c r="A118" s="254"/>
      <c r="B118" s="261"/>
      <c r="C118" s="254" t="s">
        <v>44</v>
      </c>
      <c r="D118" s="254" t="s">
        <v>40</v>
      </c>
      <c r="E118" s="197">
        <f>(0.1+0.03*2)/0.6005</f>
        <v>0.26644462947543712</v>
      </c>
      <c r="F118" s="227">
        <f>F117*E118</f>
        <v>239.80016652789342</v>
      </c>
      <c r="G118" s="240">
        <v>0</v>
      </c>
      <c r="H118" s="227">
        <f>F118*G118</f>
        <v>0</v>
      </c>
      <c r="I118" s="228"/>
      <c r="J118" s="229"/>
      <c r="K118" s="228"/>
      <c r="L118" s="229"/>
      <c r="M118" s="226">
        <f t="shared" si="7"/>
        <v>0</v>
      </c>
    </row>
    <row r="119" spans="1:13" s="210" customFormat="1" ht="27" x14ac:dyDescent="0.25">
      <c r="A119" s="189">
        <v>20</v>
      </c>
      <c r="B119" s="188" t="s">
        <v>134</v>
      </c>
      <c r="C119" s="189" t="s">
        <v>135</v>
      </c>
      <c r="D119" s="210" t="s">
        <v>47</v>
      </c>
      <c r="E119" s="233"/>
      <c r="F119" s="298">
        <v>11.2</v>
      </c>
      <c r="G119" s="208"/>
      <c r="H119" s="189"/>
      <c r="I119" s="189"/>
      <c r="K119" s="189"/>
      <c r="M119" s="215"/>
    </row>
    <row r="120" spans="1:13" s="212" customFormat="1" ht="13.5" x14ac:dyDescent="0.25">
      <c r="A120" s="254"/>
      <c r="B120" s="254"/>
      <c r="C120" s="254" t="s">
        <v>44</v>
      </c>
      <c r="D120" s="254" t="s">
        <v>40</v>
      </c>
      <c r="E120" s="262">
        <f>1.81/0.6005</f>
        <v>3.0141548709408825</v>
      </c>
      <c r="F120" s="263">
        <f>F119*E120</f>
        <v>33.758534554537881</v>
      </c>
      <c r="G120" s="240">
        <v>0</v>
      </c>
      <c r="H120" s="227">
        <f>F120*G120</f>
        <v>0</v>
      </c>
      <c r="I120" s="228"/>
      <c r="J120" s="229"/>
      <c r="K120" s="228"/>
      <c r="L120" s="229"/>
      <c r="M120" s="226">
        <f t="shared" si="7"/>
        <v>0</v>
      </c>
    </row>
    <row r="121" spans="1:13" s="294" customFormat="1" ht="32.25" customHeight="1" x14ac:dyDescent="0.25">
      <c r="A121" s="189">
        <v>21</v>
      </c>
      <c r="B121" s="299" t="s">
        <v>174</v>
      </c>
      <c r="C121" s="189" t="s">
        <v>175</v>
      </c>
      <c r="D121" s="210" t="s">
        <v>47</v>
      </c>
      <c r="E121" s="233"/>
      <c r="F121" s="209">
        <f>53*0.08</f>
        <v>4.24</v>
      </c>
      <c r="G121" s="234"/>
      <c r="H121" s="235"/>
      <c r="I121" s="300"/>
      <c r="J121" s="210"/>
      <c r="K121" s="234"/>
      <c r="L121" s="235"/>
      <c r="M121" s="215"/>
    </row>
    <row r="122" spans="1:13" s="266" customFormat="1" ht="13.5" x14ac:dyDescent="0.25">
      <c r="A122" s="211"/>
      <c r="B122" s="301"/>
      <c r="C122" s="211" t="s">
        <v>44</v>
      </c>
      <c r="D122" s="211" t="s">
        <v>40</v>
      </c>
      <c r="E122" s="258">
        <v>6.5</v>
      </c>
      <c r="F122" s="221">
        <f>F121*E122</f>
        <v>27.560000000000002</v>
      </c>
      <c r="G122" s="240">
        <v>0</v>
      </c>
      <c r="H122" s="214">
        <f>F122*G122</f>
        <v>0</v>
      </c>
      <c r="I122" s="216"/>
      <c r="J122" s="217"/>
      <c r="K122" s="216"/>
      <c r="L122" s="217"/>
      <c r="M122" s="215">
        <f t="shared" si="7"/>
        <v>0</v>
      </c>
    </row>
    <row r="123" spans="1:13" s="266" customFormat="1" ht="13.5" x14ac:dyDescent="0.25">
      <c r="A123" s="211"/>
      <c r="B123" s="212"/>
      <c r="C123" s="211" t="s">
        <v>63</v>
      </c>
      <c r="D123" s="212" t="s">
        <v>137</v>
      </c>
      <c r="E123" s="258">
        <v>2.16</v>
      </c>
      <c r="F123" s="221">
        <f>F121*E123</f>
        <v>9.1584000000000003</v>
      </c>
      <c r="G123" s="259"/>
      <c r="H123" s="217"/>
      <c r="I123" s="216"/>
      <c r="J123" s="217"/>
      <c r="K123" s="215">
        <v>0</v>
      </c>
      <c r="L123" s="214">
        <f>F123*K123</f>
        <v>0</v>
      </c>
      <c r="M123" s="215">
        <f t="shared" si="7"/>
        <v>0</v>
      </c>
    </row>
    <row r="124" spans="1:13" s="266" customFormat="1" ht="13.5" x14ac:dyDescent="0.25">
      <c r="A124" s="211"/>
      <c r="B124" s="212" t="s">
        <v>138</v>
      </c>
      <c r="C124" s="211" t="s">
        <v>139</v>
      </c>
      <c r="D124" s="212" t="s">
        <v>47</v>
      </c>
      <c r="E124" s="258">
        <v>1.1499999999999999</v>
      </c>
      <c r="F124" s="221">
        <f>F121*E124</f>
        <v>4.8759999999999994</v>
      </c>
      <c r="G124" s="259"/>
      <c r="H124" s="217"/>
      <c r="I124" s="215">
        <v>0</v>
      </c>
      <c r="J124" s="214">
        <f>F124*I124</f>
        <v>0</v>
      </c>
      <c r="K124" s="216"/>
      <c r="L124" s="217"/>
      <c r="M124" s="215">
        <f t="shared" si="7"/>
        <v>0</v>
      </c>
    </row>
    <row r="125" spans="1:13" s="266" customFormat="1" ht="13.5" x14ac:dyDescent="0.25">
      <c r="A125" s="254"/>
      <c r="B125" s="261"/>
      <c r="C125" s="254" t="s">
        <v>106</v>
      </c>
      <c r="D125" s="261" t="s">
        <v>9</v>
      </c>
      <c r="E125" s="262">
        <v>0.02</v>
      </c>
      <c r="F125" s="263">
        <f>F121*E125</f>
        <v>8.48E-2</v>
      </c>
      <c r="G125" s="264"/>
      <c r="H125" s="229"/>
      <c r="I125" s="215">
        <v>0</v>
      </c>
      <c r="J125" s="227">
        <f>F125*I125</f>
        <v>0</v>
      </c>
      <c r="K125" s="228"/>
      <c r="L125" s="229"/>
      <c r="M125" s="226">
        <f t="shared" si="7"/>
        <v>0</v>
      </c>
    </row>
    <row r="126" spans="1:13" s="302" customFormat="1" ht="27" x14ac:dyDescent="0.25">
      <c r="A126" s="281">
        <v>22</v>
      </c>
      <c r="B126" s="210" t="s">
        <v>140</v>
      </c>
      <c r="C126" s="189" t="s">
        <v>141</v>
      </c>
      <c r="D126" s="210" t="s">
        <v>38</v>
      </c>
      <c r="E126" s="189"/>
      <c r="F126" s="209">
        <v>430</v>
      </c>
      <c r="G126" s="281"/>
      <c r="H126" s="209"/>
      <c r="I126" s="189"/>
      <c r="J126" s="209"/>
      <c r="K126" s="189"/>
      <c r="L126" s="209"/>
      <c r="M126" s="215"/>
    </row>
    <row r="127" spans="1:13" s="303" customFormat="1" ht="13.5" x14ac:dyDescent="0.25">
      <c r="A127" s="236"/>
      <c r="B127" s="292"/>
      <c r="C127" s="237" t="s">
        <v>142</v>
      </c>
      <c r="D127" s="292" t="s">
        <v>40</v>
      </c>
      <c r="E127" s="213">
        <f>(0.46)/0.6005</f>
        <v>0.76602830974188174</v>
      </c>
      <c r="F127" s="289">
        <f>F126*E127</f>
        <v>329.39217318900916</v>
      </c>
      <c r="G127" s="240">
        <v>0</v>
      </c>
      <c r="H127" s="289">
        <f>F127*G127</f>
        <v>0</v>
      </c>
      <c r="I127" s="288"/>
      <c r="J127" s="289"/>
      <c r="K127" s="288"/>
      <c r="L127" s="289"/>
      <c r="M127" s="215">
        <f t="shared" si="7"/>
        <v>0</v>
      </c>
    </row>
    <row r="128" spans="1:13" s="303" customFormat="1" ht="13.5" x14ac:dyDescent="0.25">
      <c r="A128" s="236"/>
      <c r="B128" s="304" t="s">
        <v>117</v>
      </c>
      <c r="C128" s="237" t="s">
        <v>143</v>
      </c>
      <c r="D128" s="292" t="s">
        <v>47</v>
      </c>
      <c r="E128" s="245">
        <f>0.0189+0.001+0.05+0.025</f>
        <v>9.4900000000000012E-2</v>
      </c>
      <c r="F128" s="289">
        <f>F126*E128</f>
        <v>40.807000000000002</v>
      </c>
      <c r="G128" s="240"/>
      <c r="H128" s="289"/>
      <c r="I128" s="215">
        <v>0</v>
      </c>
      <c r="J128" s="289">
        <f>F128*I128</f>
        <v>0</v>
      </c>
      <c r="K128" s="288"/>
      <c r="L128" s="289"/>
      <c r="M128" s="215">
        <f t="shared" si="7"/>
        <v>0</v>
      </c>
    </row>
    <row r="129" spans="1:253" s="303" customFormat="1" ht="13.5" x14ac:dyDescent="0.25">
      <c r="A129" s="236"/>
      <c r="B129" s="304" t="s">
        <v>113</v>
      </c>
      <c r="C129" s="237" t="s">
        <v>144</v>
      </c>
      <c r="D129" s="292" t="s">
        <v>54</v>
      </c>
      <c r="E129" s="237">
        <v>0.18</v>
      </c>
      <c r="F129" s="289">
        <f>F126*E129</f>
        <v>77.399999999999991</v>
      </c>
      <c r="G129" s="245"/>
      <c r="H129" s="289"/>
      <c r="I129" s="215">
        <v>0</v>
      </c>
      <c r="J129" s="289">
        <f>F129*I129</f>
        <v>0</v>
      </c>
      <c r="K129" s="288"/>
      <c r="L129" s="289"/>
      <c r="M129" s="215">
        <f t="shared" si="7"/>
        <v>0</v>
      </c>
    </row>
    <row r="130" spans="1:253" s="303" customFormat="1" ht="13.5" x14ac:dyDescent="0.25">
      <c r="A130" s="236"/>
      <c r="B130" s="212" t="s">
        <v>145</v>
      </c>
      <c r="C130" s="237" t="s">
        <v>146</v>
      </c>
      <c r="D130" s="292" t="s">
        <v>54</v>
      </c>
      <c r="E130" s="237">
        <v>0.95</v>
      </c>
      <c r="F130" s="289">
        <f>F126*E130</f>
        <v>408.5</v>
      </c>
      <c r="G130" s="245"/>
      <c r="H130" s="289"/>
      <c r="I130" s="215">
        <v>0</v>
      </c>
      <c r="J130" s="289">
        <f>F130*I130</f>
        <v>0</v>
      </c>
      <c r="K130" s="288"/>
      <c r="L130" s="289"/>
      <c r="M130" s="215">
        <f t="shared" si="7"/>
        <v>0</v>
      </c>
    </row>
    <row r="131" spans="1:253" s="303" customFormat="1" ht="13.5" x14ac:dyDescent="0.25">
      <c r="A131" s="195"/>
      <c r="B131" s="305" t="s">
        <v>52</v>
      </c>
      <c r="C131" s="248" t="s">
        <v>53</v>
      </c>
      <c r="D131" s="306" t="s">
        <v>54</v>
      </c>
      <c r="E131" s="248">
        <v>0.11</v>
      </c>
      <c r="F131" s="307">
        <f>F126*E131</f>
        <v>47.3</v>
      </c>
      <c r="G131" s="202"/>
      <c r="H131" s="307"/>
      <c r="I131" s="215">
        <v>0</v>
      </c>
      <c r="J131" s="308">
        <f>F131*I131</f>
        <v>0</v>
      </c>
      <c r="K131" s="308"/>
      <c r="L131" s="307"/>
      <c r="M131" s="226">
        <f t="shared" si="7"/>
        <v>0</v>
      </c>
    </row>
    <row r="132" spans="1:253" s="302" customFormat="1" ht="25.5" x14ac:dyDescent="0.25">
      <c r="A132" s="281">
        <v>23</v>
      </c>
      <c r="B132" s="188" t="s">
        <v>147</v>
      </c>
      <c r="C132" s="189" t="s">
        <v>148</v>
      </c>
      <c r="D132" s="210" t="s">
        <v>38</v>
      </c>
      <c r="E132" s="189"/>
      <c r="F132" s="309">
        <v>430</v>
      </c>
      <c r="G132" s="281"/>
      <c r="H132" s="209"/>
      <c r="I132" s="189"/>
      <c r="J132" s="209"/>
      <c r="K132" s="189"/>
      <c r="L132" s="209"/>
      <c r="M132" s="215"/>
    </row>
    <row r="133" spans="1:253" s="303" customFormat="1" ht="13.5" x14ac:dyDescent="0.25">
      <c r="A133" s="195"/>
      <c r="B133" s="306"/>
      <c r="C133" s="248" t="s">
        <v>142</v>
      </c>
      <c r="D133" s="306" t="s">
        <v>40</v>
      </c>
      <c r="E133" s="197">
        <f>0.23/0.6005</f>
        <v>0.38301415487094087</v>
      </c>
      <c r="F133" s="307">
        <f>F132*E133</f>
        <v>164.69608659450458</v>
      </c>
      <c r="G133" s="240">
        <v>0</v>
      </c>
      <c r="H133" s="307">
        <f>F133*G133</f>
        <v>0</v>
      </c>
      <c r="I133" s="308"/>
      <c r="J133" s="307"/>
      <c r="K133" s="308"/>
      <c r="L133" s="307"/>
      <c r="M133" s="226">
        <f t="shared" si="7"/>
        <v>0</v>
      </c>
    </row>
    <row r="134" spans="1:253" s="210" customFormat="1" ht="27" x14ac:dyDescent="0.25">
      <c r="A134" s="189">
        <v>24</v>
      </c>
      <c r="B134" s="210" t="s">
        <v>149</v>
      </c>
      <c r="C134" s="189" t="s">
        <v>150</v>
      </c>
      <c r="D134" s="210" t="s">
        <v>82</v>
      </c>
      <c r="E134" s="233"/>
      <c r="F134" s="209">
        <v>7</v>
      </c>
      <c r="G134" s="208"/>
      <c r="H134" s="189"/>
      <c r="I134" s="189"/>
      <c r="K134" s="189"/>
      <c r="M134" s="215"/>
    </row>
    <row r="135" spans="1:253" s="212" customFormat="1" ht="13.5" x14ac:dyDescent="0.25">
      <c r="A135" s="254"/>
      <c r="B135" s="254"/>
      <c r="C135" s="254" t="s">
        <v>44</v>
      </c>
      <c r="D135" s="254" t="s">
        <v>40</v>
      </c>
      <c r="E135" s="262">
        <v>1.85</v>
      </c>
      <c r="F135" s="263">
        <f>F134*E135</f>
        <v>12.950000000000001</v>
      </c>
      <c r="G135" s="240">
        <v>0</v>
      </c>
      <c r="H135" s="227">
        <f>F135*G135</f>
        <v>0</v>
      </c>
      <c r="I135" s="228"/>
      <c r="J135" s="229"/>
      <c r="K135" s="228"/>
      <c r="L135" s="229"/>
      <c r="M135" s="226">
        <f t="shared" si="7"/>
        <v>0</v>
      </c>
    </row>
    <row r="136" spans="1:253" s="294" customFormat="1" ht="27" x14ac:dyDescent="0.25">
      <c r="A136" s="189">
        <v>25</v>
      </c>
      <c r="B136" s="210" t="s">
        <v>151</v>
      </c>
      <c r="C136" s="189" t="s">
        <v>176</v>
      </c>
      <c r="D136" s="210" t="s">
        <v>47</v>
      </c>
      <c r="E136" s="233"/>
      <c r="F136" s="209">
        <v>15</v>
      </c>
      <c r="G136" s="208"/>
      <c r="H136" s="189"/>
      <c r="I136" s="189"/>
      <c r="J136" s="210"/>
      <c r="K136" s="189"/>
      <c r="L136" s="210"/>
      <c r="M136" s="215"/>
    </row>
    <row r="137" spans="1:253" s="266" customFormat="1" ht="13.5" x14ac:dyDescent="0.25">
      <c r="A137" s="254"/>
      <c r="B137" s="254"/>
      <c r="C137" s="254" t="s">
        <v>44</v>
      </c>
      <c r="D137" s="254" t="s">
        <v>40</v>
      </c>
      <c r="E137" s="262">
        <v>0.87</v>
      </c>
      <c r="F137" s="263">
        <f>F136*E137</f>
        <v>13.05</v>
      </c>
      <c r="G137" s="240">
        <v>0</v>
      </c>
      <c r="H137" s="227">
        <f>F137*G137</f>
        <v>0</v>
      </c>
      <c r="I137" s="264"/>
      <c r="J137" s="279"/>
      <c r="K137" s="264"/>
      <c r="L137" s="279"/>
      <c r="M137" s="226">
        <f t="shared" si="7"/>
        <v>0</v>
      </c>
    </row>
    <row r="138" spans="1:253" s="297" customFormat="1" ht="38.25" x14ac:dyDescent="0.25">
      <c r="A138" s="310">
        <v>26</v>
      </c>
      <c r="B138" s="311" t="s">
        <v>177</v>
      </c>
      <c r="C138" s="310" t="s">
        <v>153</v>
      </c>
      <c r="D138" s="312" t="s">
        <v>82</v>
      </c>
      <c r="E138" s="313"/>
      <c r="F138" s="314">
        <v>7</v>
      </c>
      <c r="G138" s="308"/>
      <c r="H138" s="307"/>
      <c r="I138" s="308"/>
      <c r="J138" s="307"/>
      <c r="K138" s="308">
        <v>0</v>
      </c>
      <c r="L138" s="307">
        <f>F138*K138</f>
        <v>0</v>
      </c>
      <c r="M138" s="215">
        <f t="shared" si="7"/>
        <v>0</v>
      </c>
    </row>
    <row r="139" spans="1:253" s="321" customFormat="1" ht="15.75" x14ac:dyDescent="0.3">
      <c r="A139" s="315"/>
      <c r="B139" s="316"/>
      <c r="C139" s="315" t="s">
        <v>154</v>
      </c>
      <c r="D139" s="315"/>
      <c r="E139" s="317"/>
      <c r="F139" s="317"/>
      <c r="G139" s="318"/>
      <c r="H139" s="319">
        <f>SUM(H16:H138)</f>
        <v>0</v>
      </c>
      <c r="I139" s="320"/>
      <c r="J139" s="319">
        <f>SUM(J16:J138)</f>
        <v>0</v>
      </c>
      <c r="K139" s="319"/>
      <c r="L139" s="319">
        <f>SUM(L16:L138)</f>
        <v>0</v>
      </c>
      <c r="M139" s="319">
        <f>SUM(M16:M138)</f>
        <v>0</v>
      </c>
    </row>
    <row r="140" spans="1:253" s="321" customFormat="1" ht="54.75" x14ac:dyDescent="0.3">
      <c r="A140" s="315"/>
      <c r="B140" s="322" t="s">
        <v>155</v>
      </c>
      <c r="C140" s="323" t="s">
        <v>156</v>
      </c>
      <c r="D140" s="324">
        <v>0</v>
      </c>
      <c r="E140" s="317"/>
      <c r="F140" s="317"/>
      <c r="G140" s="318"/>
      <c r="H140" s="319">
        <f>H139*D140</f>
        <v>0</v>
      </c>
      <c r="I140" s="320"/>
      <c r="J140" s="319"/>
      <c r="K140" s="319"/>
      <c r="L140" s="319">
        <f>L139*D140</f>
        <v>0</v>
      </c>
      <c r="M140" s="319">
        <f>H140+L140</f>
        <v>0</v>
      </c>
    </row>
    <row r="141" spans="1:253" s="321" customFormat="1" ht="20.45" customHeight="1" x14ac:dyDescent="0.3">
      <c r="A141" s="315"/>
      <c r="B141" s="322"/>
      <c r="C141" s="325" t="s">
        <v>157</v>
      </c>
      <c r="D141" s="324">
        <v>0</v>
      </c>
      <c r="E141" s="317"/>
      <c r="F141" s="317"/>
      <c r="G141" s="318"/>
      <c r="H141" s="319"/>
      <c r="I141" s="320"/>
      <c r="J141" s="319"/>
      <c r="K141" s="319"/>
      <c r="L141" s="319">
        <f>(J139)*D141</f>
        <v>0</v>
      </c>
      <c r="M141" s="319">
        <f>H141+L141</f>
        <v>0</v>
      </c>
    </row>
    <row r="142" spans="1:253" s="321" customFormat="1" ht="15.75" x14ac:dyDescent="0.3">
      <c r="A142" s="315"/>
      <c r="B142" s="315"/>
      <c r="C142" s="315" t="s">
        <v>154</v>
      </c>
      <c r="D142" s="315"/>
      <c r="E142" s="317"/>
      <c r="F142" s="317"/>
      <c r="G142" s="318"/>
      <c r="H142" s="319">
        <f>H139+H140+H141</f>
        <v>0</v>
      </c>
      <c r="I142" s="320"/>
      <c r="J142" s="319">
        <f>J139+J140+J141</f>
        <v>0</v>
      </c>
      <c r="K142" s="319"/>
      <c r="L142" s="319">
        <f>L139+L140+L141</f>
        <v>0</v>
      </c>
      <c r="M142" s="319">
        <f>M139+M140+M141</f>
        <v>0</v>
      </c>
    </row>
    <row r="143" spans="1:253" x14ac:dyDescent="0.3">
      <c r="A143" s="326"/>
      <c r="B143" s="326"/>
      <c r="C143" s="327" t="s">
        <v>158</v>
      </c>
      <c r="D143" s="328">
        <v>0</v>
      </c>
      <c r="E143" s="329"/>
      <c r="F143" s="329"/>
      <c r="G143" s="330"/>
      <c r="H143" s="331">
        <f>(H142)*D143</f>
        <v>0</v>
      </c>
      <c r="I143" s="331"/>
      <c r="J143" s="331">
        <f>(J142)*D143</f>
        <v>0</v>
      </c>
      <c r="K143" s="331"/>
      <c r="L143" s="331">
        <f>(L142)*D143</f>
        <v>0</v>
      </c>
      <c r="M143" s="331">
        <f>SUM(H143:L143)</f>
        <v>0</v>
      </c>
      <c r="N143" s="321"/>
      <c r="O143" s="321"/>
      <c r="P143" s="321"/>
      <c r="Q143" s="321"/>
      <c r="R143" s="321"/>
      <c r="S143" s="321"/>
      <c r="T143" s="321"/>
      <c r="U143" s="321"/>
      <c r="V143" s="321"/>
      <c r="W143" s="321"/>
      <c r="X143" s="321"/>
      <c r="Y143" s="321"/>
      <c r="Z143" s="321"/>
      <c r="AA143" s="321"/>
      <c r="AB143" s="321"/>
      <c r="AC143" s="321"/>
      <c r="AD143" s="321"/>
      <c r="AE143" s="321"/>
      <c r="AF143" s="321"/>
      <c r="AG143" s="321"/>
      <c r="AH143" s="321"/>
      <c r="AI143" s="321"/>
      <c r="AJ143" s="321"/>
      <c r="AK143" s="321"/>
      <c r="AL143" s="321"/>
      <c r="AM143" s="321"/>
      <c r="AN143" s="321"/>
      <c r="AO143" s="321"/>
      <c r="AP143" s="321"/>
      <c r="AQ143" s="321"/>
      <c r="AR143" s="321"/>
      <c r="AS143" s="321"/>
      <c r="AT143" s="321"/>
      <c r="AU143" s="321"/>
      <c r="AV143" s="321"/>
      <c r="AW143" s="321"/>
      <c r="AX143" s="321"/>
      <c r="AY143" s="321"/>
      <c r="AZ143" s="321"/>
      <c r="BA143" s="321"/>
      <c r="BB143" s="321"/>
      <c r="BC143" s="321"/>
      <c r="BD143" s="321"/>
      <c r="BE143" s="321"/>
      <c r="BF143" s="321"/>
      <c r="BG143" s="321"/>
      <c r="BH143" s="321"/>
      <c r="BI143" s="321"/>
      <c r="BJ143" s="321"/>
      <c r="BK143" s="321"/>
      <c r="BL143" s="321"/>
      <c r="BM143" s="321"/>
      <c r="BN143" s="321"/>
      <c r="BO143" s="321"/>
      <c r="BP143" s="321"/>
      <c r="BQ143" s="321"/>
      <c r="BR143" s="321"/>
      <c r="BS143" s="321"/>
      <c r="BT143" s="321"/>
      <c r="BU143" s="321"/>
      <c r="BV143" s="321"/>
      <c r="BW143" s="321"/>
      <c r="BX143" s="321"/>
      <c r="BY143" s="321"/>
      <c r="BZ143" s="321"/>
      <c r="CA143" s="321"/>
      <c r="CB143" s="321"/>
      <c r="CC143" s="321"/>
      <c r="CD143" s="321"/>
      <c r="CE143" s="321"/>
      <c r="CF143" s="321"/>
      <c r="CG143" s="321"/>
      <c r="CH143" s="321"/>
      <c r="CI143" s="321"/>
      <c r="CJ143" s="321"/>
      <c r="CK143" s="321"/>
      <c r="CL143" s="321"/>
      <c r="CM143" s="321"/>
      <c r="CN143" s="321"/>
      <c r="CO143" s="321"/>
      <c r="CP143" s="321"/>
      <c r="CQ143" s="321"/>
      <c r="CR143" s="321"/>
      <c r="CS143" s="321"/>
      <c r="CT143" s="321"/>
      <c r="CU143" s="321"/>
      <c r="CV143" s="321"/>
      <c r="CW143" s="321"/>
      <c r="CX143" s="321"/>
      <c r="CY143" s="321"/>
      <c r="CZ143" s="321"/>
      <c r="DA143" s="321"/>
      <c r="DB143" s="321"/>
      <c r="DC143" s="321"/>
      <c r="DD143" s="321"/>
      <c r="DE143" s="321"/>
      <c r="DF143" s="321"/>
      <c r="DG143" s="321"/>
      <c r="DH143" s="321"/>
      <c r="DI143" s="321"/>
      <c r="DJ143" s="321"/>
      <c r="DK143" s="321"/>
      <c r="DL143" s="321"/>
      <c r="DM143" s="321"/>
      <c r="DN143" s="321"/>
      <c r="DO143" s="321"/>
      <c r="DP143" s="321"/>
      <c r="DQ143" s="321"/>
      <c r="DR143" s="321"/>
      <c r="DS143" s="321"/>
      <c r="DT143" s="321"/>
      <c r="DU143" s="321"/>
      <c r="DV143" s="321"/>
      <c r="DW143" s="321"/>
      <c r="DX143" s="321"/>
      <c r="DY143" s="321"/>
      <c r="DZ143" s="321"/>
      <c r="EA143" s="321"/>
      <c r="EB143" s="321"/>
      <c r="EC143" s="321"/>
      <c r="ED143" s="321"/>
      <c r="EE143" s="321"/>
      <c r="EF143" s="321"/>
      <c r="EG143" s="321"/>
      <c r="EH143" s="321"/>
      <c r="EI143" s="321"/>
      <c r="EJ143" s="321"/>
      <c r="EK143" s="321"/>
      <c r="EL143" s="321"/>
      <c r="EM143" s="321"/>
      <c r="EN143" s="321"/>
      <c r="EO143" s="321"/>
      <c r="EP143" s="321"/>
      <c r="EQ143" s="321"/>
      <c r="ER143" s="321"/>
      <c r="ES143" s="321"/>
      <c r="ET143" s="321"/>
      <c r="EU143" s="321"/>
      <c r="EV143" s="321"/>
      <c r="EW143" s="321"/>
      <c r="EX143" s="321"/>
      <c r="EY143" s="321"/>
      <c r="EZ143" s="321"/>
      <c r="FA143" s="321"/>
      <c r="FB143" s="321"/>
      <c r="FC143" s="321"/>
      <c r="FD143" s="321"/>
      <c r="FE143" s="321"/>
      <c r="FF143" s="321"/>
      <c r="FG143" s="321"/>
      <c r="FH143" s="321"/>
      <c r="FI143" s="321"/>
      <c r="FJ143" s="321"/>
      <c r="FK143" s="321"/>
      <c r="FL143" s="321"/>
      <c r="FM143" s="321"/>
      <c r="FN143" s="321"/>
      <c r="FO143" s="321"/>
      <c r="FP143" s="321"/>
      <c r="FQ143" s="321"/>
      <c r="FR143" s="321"/>
      <c r="FS143" s="321"/>
      <c r="FT143" s="321"/>
      <c r="FU143" s="321"/>
      <c r="FV143" s="321"/>
      <c r="FW143" s="321"/>
      <c r="FX143" s="321"/>
      <c r="FY143" s="321"/>
      <c r="FZ143" s="321"/>
      <c r="GA143" s="321"/>
      <c r="GB143" s="321"/>
      <c r="GC143" s="321"/>
      <c r="GD143" s="321"/>
      <c r="GE143" s="321"/>
      <c r="GF143" s="321"/>
      <c r="GG143" s="321"/>
      <c r="GH143" s="321"/>
      <c r="GI143" s="321"/>
      <c r="GJ143" s="321"/>
      <c r="GK143" s="321"/>
      <c r="GL143" s="321"/>
      <c r="GM143" s="321"/>
      <c r="GN143" s="321"/>
      <c r="GO143" s="321"/>
      <c r="GP143" s="321"/>
      <c r="GQ143" s="321"/>
      <c r="GR143" s="321"/>
      <c r="GS143" s="321"/>
      <c r="GT143" s="321"/>
      <c r="GU143" s="321"/>
      <c r="GV143" s="321"/>
      <c r="GW143" s="321"/>
      <c r="GX143" s="321"/>
      <c r="GY143" s="321"/>
      <c r="GZ143" s="321"/>
      <c r="HA143" s="321"/>
      <c r="HB143" s="321"/>
      <c r="HC143" s="321"/>
      <c r="HD143" s="321"/>
      <c r="HE143" s="321"/>
      <c r="HF143" s="321"/>
      <c r="HG143" s="321"/>
      <c r="HH143" s="321"/>
      <c r="HI143" s="321"/>
      <c r="HJ143" s="321"/>
      <c r="HK143" s="321"/>
      <c r="HL143" s="321"/>
      <c r="HM143" s="321"/>
      <c r="HN143" s="321"/>
      <c r="HO143" s="321"/>
      <c r="HP143" s="321"/>
      <c r="HQ143" s="321"/>
      <c r="HR143" s="321"/>
      <c r="HS143" s="321"/>
      <c r="HT143" s="321"/>
      <c r="HU143" s="321"/>
      <c r="HV143" s="321"/>
      <c r="HW143" s="321"/>
      <c r="HX143" s="321"/>
      <c r="HY143" s="321"/>
      <c r="HZ143" s="321"/>
      <c r="IA143" s="321"/>
      <c r="IB143" s="321"/>
      <c r="IC143" s="321"/>
      <c r="ID143" s="321"/>
      <c r="IE143" s="321"/>
      <c r="IF143" s="321"/>
      <c r="IG143" s="321"/>
      <c r="IH143" s="321"/>
      <c r="II143" s="321"/>
      <c r="IJ143" s="321"/>
      <c r="IK143" s="321"/>
      <c r="IL143" s="321"/>
      <c r="IM143" s="321"/>
      <c r="IN143" s="321"/>
      <c r="IO143" s="321"/>
      <c r="IP143" s="321"/>
      <c r="IQ143" s="321"/>
      <c r="IR143" s="321"/>
      <c r="IS143" s="321"/>
    </row>
    <row r="144" spans="1:253" x14ac:dyDescent="0.3">
      <c r="A144" s="333"/>
      <c r="B144" s="333"/>
      <c r="C144" s="327" t="s">
        <v>154</v>
      </c>
      <c r="D144" s="334"/>
      <c r="E144" s="333"/>
      <c r="F144" s="333"/>
      <c r="G144" s="333"/>
      <c r="H144" s="335">
        <f>H142+H143</f>
        <v>0</v>
      </c>
      <c r="I144" s="331"/>
      <c r="J144" s="335">
        <f>J142+J143</f>
        <v>0</v>
      </c>
      <c r="K144" s="331"/>
      <c r="L144" s="335">
        <f>L142+L143</f>
        <v>0</v>
      </c>
      <c r="M144" s="331">
        <f>SUM(H144:L144)</f>
        <v>0</v>
      </c>
    </row>
    <row r="145" spans="1:253" x14ac:dyDescent="0.3">
      <c r="A145" s="326"/>
      <c r="B145" s="326"/>
      <c r="C145" s="327" t="s">
        <v>159</v>
      </c>
      <c r="D145" s="328">
        <v>0</v>
      </c>
      <c r="E145" s="329"/>
      <c r="F145" s="329"/>
      <c r="G145" s="330"/>
      <c r="H145" s="331">
        <f>H144*D145</f>
        <v>0</v>
      </c>
      <c r="I145" s="331"/>
      <c r="J145" s="335">
        <f>J144*D145</f>
        <v>0</v>
      </c>
      <c r="K145" s="331"/>
      <c r="L145" s="331">
        <f>L144*D145</f>
        <v>0</v>
      </c>
      <c r="M145" s="331">
        <f>SUM(H145:L145)</f>
        <v>0</v>
      </c>
      <c r="N145" s="321"/>
      <c r="O145" s="321"/>
      <c r="P145" s="321"/>
      <c r="Q145" s="321"/>
      <c r="R145" s="321"/>
      <c r="S145" s="321"/>
      <c r="T145" s="321"/>
      <c r="U145" s="321"/>
      <c r="V145" s="321"/>
      <c r="W145" s="321"/>
      <c r="X145" s="321"/>
      <c r="Y145" s="321"/>
      <c r="Z145" s="321"/>
      <c r="AA145" s="321"/>
      <c r="AB145" s="321"/>
      <c r="AC145" s="321"/>
      <c r="AD145" s="321"/>
      <c r="AE145" s="321"/>
      <c r="AF145" s="321"/>
      <c r="AG145" s="321"/>
      <c r="AH145" s="321"/>
      <c r="AI145" s="321"/>
      <c r="AJ145" s="321"/>
      <c r="AK145" s="321"/>
      <c r="AL145" s="321"/>
      <c r="AM145" s="321"/>
      <c r="AN145" s="321"/>
      <c r="AO145" s="321"/>
      <c r="AP145" s="321"/>
      <c r="AQ145" s="321"/>
      <c r="AR145" s="321"/>
      <c r="AS145" s="321"/>
      <c r="AT145" s="321"/>
      <c r="AU145" s="321"/>
      <c r="AV145" s="321"/>
      <c r="AW145" s="321"/>
      <c r="AX145" s="321"/>
      <c r="AY145" s="321"/>
      <c r="AZ145" s="321"/>
      <c r="BA145" s="321"/>
      <c r="BB145" s="321"/>
      <c r="BC145" s="321"/>
      <c r="BD145" s="321"/>
      <c r="BE145" s="321"/>
      <c r="BF145" s="321"/>
      <c r="BG145" s="321"/>
      <c r="BH145" s="321"/>
      <c r="BI145" s="321"/>
      <c r="BJ145" s="321"/>
      <c r="BK145" s="321"/>
      <c r="BL145" s="321"/>
      <c r="BM145" s="321"/>
      <c r="BN145" s="321"/>
      <c r="BO145" s="321"/>
      <c r="BP145" s="321"/>
      <c r="BQ145" s="321"/>
      <c r="BR145" s="321"/>
      <c r="BS145" s="321"/>
      <c r="BT145" s="321"/>
      <c r="BU145" s="321"/>
      <c r="BV145" s="321"/>
      <c r="BW145" s="321"/>
      <c r="BX145" s="321"/>
      <c r="BY145" s="321"/>
      <c r="BZ145" s="321"/>
      <c r="CA145" s="321"/>
      <c r="CB145" s="321"/>
      <c r="CC145" s="321"/>
      <c r="CD145" s="321"/>
      <c r="CE145" s="321"/>
      <c r="CF145" s="321"/>
      <c r="CG145" s="321"/>
      <c r="CH145" s="321"/>
      <c r="CI145" s="321"/>
      <c r="CJ145" s="321"/>
      <c r="CK145" s="321"/>
      <c r="CL145" s="321"/>
      <c r="CM145" s="321"/>
      <c r="CN145" s="321"/>
      <c r="CO145" s="321"/>
      <c r="CP145" s="321"/>
      <c r="CQ145" s="321"/>
      <c r="CR145" s="321"/>
      <c r="CS145" s="321"/>
      <c r="CT145" s="321"/>
      <c r="CU145" s="321"/>
      <c r="CV145" s="321"/>
      <c r="CW145" s="321"/>
      <c r="CX145" s="321"/>
      <c r="CY145" s="321"/>
      <c r="CZ145" s="321"/>
      <c r="DA145" s="321"/>
      <c r="DB145" s="321"/>
      <c r="DC145" s="321"/>
      <c r="DD145" s="321"/>
      <c r="DE145" s="321"/>
      <c r="DF145" s="321"/>
      <c r="DG145" s="321"/>
      <c r="DH145" s="321"/>
      <c r="DI145" s="321"/>
      <c r="DJ145" s="321"/>
      <c r="DK145" s="321"/>
      <c r="DL145" s="321"/>
      <c r="DM145" s="321"/>
      <c r="DN145" s="321"/>
      <c r="DO145" s="321"/>
      <c r="DP145" s="321"/>
      <c r="DQ145" s="321"/>
      <c r="DR145" s="321"/>
      <c r="DS145" s="321"/>
      <c r="DT145" s="321"/>
      <c r="DU145" s="321"/>
      <c r="DV145" s="321"/>
      <c r="DW145" s="321"/>
      <c r="DX145" s="321"/>
      <c r="DY145" s="321"/>
      <c r="DZ145" s="321"/>
      <c r="EA145" s="321"/>
      <c r="EB145" s="321"/>
      <c r="EC145" s="321"/>
      <c r="ED145" s="321"/>
      <c r="EE145" s="321"/>
      <c r="EF145" s="321"/>
      <c r="EG145" s="321"/>
      <c r="EH145" s="321"/>
      <c r="EI145" s="321"/>
      <c r="EJ145" s="321"/>
      <c r="EK145" s="321"/>
      <c r="EL145" s="321"/>
      <c r="EM145" s="321"/>
      <c r="EN145" s="321"/>
      <c r="EO145" s="321"/>
      <c r="EP145" s="321"/>
      <c r="EQ145" s="321"/>
      <c r="ER145" s="321"/>
      <c r="ES145" s="321"/>
      <c r="ET145" s="321"/>
      <c r="EU145" s="321"/>
      <c r="EV145" s="321"/>
      <c r="EW145" s="321"/>
      <c r="EX145" s="321"/>
      <c r="EY145" s="321"/>
      <c r="EZ145" s="321"/>
      <c r="FA145" s="321"/>
      <c r="FB145" s="321"/>
      <c r="FC145" s="321"/>
      <c r="FD145" s="321"/>
      <c r="FE145" s="321"/>
      <c r="FF145" s="321"/>
      <c r="FG145" s="321"/>
      <c r="FH145" s="321"/>
      <c r="FI145" s="321"/>
      <c r="FJ145" s="321"/>
      <c r="FK145" s="321"/>
      <c r="FL145" s="321"/>
      <c r="FM145" s="321"/>
      <c r="FN145" s="321"/>
      <c r="FO145" s="321"/>
      <c r="FP145" s="321"/>
      <c r="FQ145" s="321"/>
      <c r="FR145" s="321"/>
      <c r="FS145" s="321"/>
      <c r="FT145" s="321"/>
      <c r="FU145" s="321"/>
      <c r="FV145" s="321"/>
      <c r="FW145" s="321"/>
      <c r="FX145" s="321"/>
      <c r="FY145" s="321"/>
      <c r="FZ145" s="321"/>
      <c r="GA145" s="321"/>
      <c r="GB145" s="321"/>
      <c r="GC145" s="321"/>
      <c r="GD145" s="321"/>
      <c r="GE145" s="321"/>
      <c r="GF145" s="321"/>
      <c r="GG145" s="321"/>
      <c r="GH145" s="321"/>
      <c r="GI145" s="321"/>
      <c r="GJ145" s="321"/>
      <c r="GK145" s="321"/>
      <c r="GL145" s="321"/>
      <c r="GM145" s="321"/>
      <c r="GN145" s="321"/>
      <c r="GO145" s="321"/>
      <c r="GP145" s="321"/>
      <c r="GQ145" s="321"/>
      <c r="GR145" s="321"/>
      <c r="GS145" s="321"/>
      <c r="GT145" s="321"/>
      <c r="GU145" s="321"/>
      <c r="GV145" s="321"/>
      <c r="GW145" s="321"/>
      <c r="GX145" s="321"/>
      <c r="GY145" s="321"/>
      <c r="GZ145" s="321"/>
      <c r="HA145" s="321"/>
      <c r="HB145" s="321"/>
      <c r="HC145" s="321"/>
      <c r="HD145" s="321"/>
      <c r="HE145" s="321"/>
      <c r="HF145" s="321"/>
      <c r="HG145" s="321"/>
      <c r="HH145" s="321"/>
      <c r="HI145" s="321"/>
      <c r="HJ145" s="321"/>
      <c r="HK145" s="321"/>
      <c r="HL145" s="321"/>
      <c r="HM145" s="321"/>
      <c r="HN145" s="321"/>
      <c r="HO145" s="321"/>
      <c r="HP145" s="321"/>
      <c r="HQ145" s="321"/>
      <c r="HR145" s="321"/>
      <c r="HS145" s="321"/>
      <c r="HT145" s="321"/>
      <c r="HU145" s="321"/>
      <c r="HV145" s="321"/>
      <c r="HW145" s="321"/>
      <c r="HX145" s="321"/>
      <c r="HY145" s="321"/>
      <c r="HZ145" s="321"/>
      <c r="IA145" s="321"/>
      <c r="IB145" s="321"/>
      <c r="IC145" s="321"/>
      <c r="ID145" s="321"/>
      <c r="IE145" s="321"/>
      <c r="IF145" s="321"/>
      <c r="IG145" s="321"/>
      <c r="IH145" s="321"/>
      <c r="II145" s="321"/>
      <c r="IJ145" s="321"/>
      <c r="IK145" s="321"/>
      <c r="IL145" s="321"/>
      <c r="IM145" s="321"/>
      <c r="IN145" s="321"/>
      <c r="IO145" s="321"/>
      <c r="IP145" s="321"/>
      <c r="IQ145" s="321"/>
      <c r="IR145" s="321"/>
      <c r="IS145" s="321"/>
    </row>
    <row r="146" spans="1:253" x14ac:dyDescent="0.3">
      <c r="A146" s="333"/>
      <c r="B146" s="333"/>
      <c r="C146" s="327" t="s">
        <v>154</v>
      </c>
      <c r="D146" s="334"/>
      <c r="E146" s="333"/>
      <c r="F146" s="333"/>
      <c r="G146" s="333"/>
      <c r="H146" s="335">
        <f>H144+H145</f>
        <v>0</v>
      </c>
      <c r="I146" s="331"/>
      <c r="J146" s="335">
        <f>J144+J145</f>
        <v>0</v>
      </c>
      <c r="K146" s="331"/>
      <c r="L146" s="331">
        <f>L144+L145</f>
        <v>0</v>
      </c>
      <c r="M146" s="331">
        <f>SUM(H146:L146)</f>
        <v>0</v>
      </c>
    </row>
    <row r="147" spans="1:253" x14ac:dyDescent="0.3">
      <c r="A147" s="337"/>
      <c r="B147" s="337"/>
      <c r="C147" s="338" t="s">
        <v>160</v>
      </c>
      <c r="D147" s="339">
        <v>0.02</v>
      </c>
      <c r="E147" s="337"/>
      <c r="F147" s="337"/>
      <c r="G147" s="337"/>
      <c r="H147" s="337"/>
      <c r="I147" s="337"/>
      <c r="J147" s="337"/>
      <c r="K147" s="337"/>
      <c r="L147" s="337"/>
      <c r="M147" s="340">
        <f>M146*D147</f>
        <v>0</v>
      </c>
    </row>
    <row r="148" spans="1:253" x14ac:dyDescent="0.3">
      <c r="A148" s="333"/>
      <c r="B148" s="333"/>
      <c r="C148" s="341" t="s">
        <v>154</v>
      </c>
      <c r="D148" s="327"/>
      <c r="E148" s="333"/>
      <c r="F148" s="333"/>
      <c r="G148" s="333"/>
      <c r="H148" s="335"/>
      <c r="I148" s="331"/>
      <c r="J148" s="335"/>
      <c r="K148" s="331"/>
      <c r="L148" s="331"/>
      <c r="M148" s="342">
        <f>M146+M147</f>
        <v>0</v>
      </c>
    </row>
    <row r="149" spans="1:253" x14ac:dyDescent="0.3">
      <c r="A149" s="337"/>
      <c r="B149" s="337"/>
      <c r="C149" s="343" t="s">
        <v>161</v>
      </c>
      <c r="D149" s="339">
        <v>0.05</v>
      </c>
      <c r="E149" s="337"/>
      <c r="F149" s="337"/>
      <c r="G149" s="337"/>
      <c r="H149" s="337"/>
      <c r="I149" s="337"/>
      <c r="J149" s="337"/>
      <c r="K149" s="337"/>
      <c r="L149" s="337"/>
      <c r="M149" s="340">
        <f>M148*D149</f>
        <v>0</v>
      </c>
    </row>
    <row r="150" spans="1:253" x14ac:dyDescent="0.3">
      <c r="A150" s="337"/>
      <c r="B150" s="337"/>
      <c r="C150" s="344" t="s">
        <v>20</v>
      </c>
      <c r="D150" s="345"/>
      <c r="E150" s="337"/>
      <c r="F150" s="337"/>
      <c r="G150" s="337"/>
      <c r="H150" s="337"/>
      <c r="I150" s="337"/>
      <c r="J150" s="337"/>
      <c r="K150" s="337"/>
      <c r="L150" s="337"/>
      <c r="M150" s="340">
        <f>M148+M149</f>
        <v>0</v>
      </c>
    </row>
  </sheetData>
  <mergeCells count="2">
    <mergeCell ref="A1:F1"/>
    <mergeCell ref="N110:O110"/>
  </mergeCells>
  <pageMargins left="0.15748031496062992" right="0.27559055118110237" top="0.51181102362204722" bottom="0.43307086614173229" header="0.11811023622047245" footer="0.15748031496062992"/>
  <pageSetup paperSize="9" orientation="landscape" r:id="rId1"/>
  <headerFooter alignWithMargins="0">
    <oddFooter>&amp;C&amp;R&amp;P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C12F1-FDB9-4200-873A-A8A6C66512B5}">
  <sheetPr>
    <tabColor rgb="FF408046"/>
  </sheetPr>
  <dimension ref="A1:IV172"/>
  <sheetViews>
    <sheetView tabSelected="1" topLeftCell="A163" zoomScale="126" zoomScaleNormal="126" workbookViewId="0">
      <selection activeCell="P172" sqref="P172"/>
    </sheetView>
  </sheetViews>
  <sheetFormatPr defaultColWidth="9.140625" defaultRowHeight="16.5" x14ac:dyDescent="0.3"/>
  <cols>
    <col min="1" max="1" width="3.85546875" style="157" customWidth="1"/>
    <col min="2" max="2" width="8.7109375" style="157" customWidth="1"/>
    <col min="3" max="3" width="41.5703125" style="157" customWidth="1"/>
    <col min="4" max="4" width="7.7109375" style="157" customWidth="1"/>
    <col min="5" max="5" width="8.7109375" style="157" customWidth="1"/>
    <col min="6" max="6" width="9.85546875" style="157" customWidth="1"/>
    <col min="7" max="7" width="7.140625" style="157" customWidth="1"/>
    <col min="8" max="8" width="8.140625" style="157" customWidth="1"/>
    <col min="9" max="9" width="8" style="157" customWidth="1"/>
    <col min="10" max="10" width="8.5703125" style="157" customWidth="1"/>
    <col min="11" max="11" width="7" style="157" customWidth="1"/>
    <col min="12" max="12" width="9.85546875" style="157" customWidth="1"/>
    <col min="13" max="13" width="10.5703125" style="157" customWidth="1"/>
    <col min="14" max="16384" width="9.140625" style="157"/>
  </cols>
  <sheetData>
    <row r="1" spans="1:13" ht="30.75" customHeight="1" x14ac:dyDescent="0.3">
      <c r="A1" s="359" t="s">
        <v>178</v>
      </c>
      <c r="B1" s="359"/>
      <c r="C1" s="359"/>
      <c r="D1" s="359"/>
      <c r="E1" s="346"/>
      <c r="F1" s="346"/>
      <c r="G1" s="154"/>
      <c r="H1" s="155"/>
      <c r="I1" s="156"/>
      <c r="J1" s="156"/>
      <c r="K1" s="156"/>
      <c r="L1" s="156"/>
      <c r="M1" s="156"/>
    </row>
    <row r="2" spans="1:13" ht="15" customHeight="1" x14ac:dyDescent="0.3">
      <c r="A2" s="156" t="s">
        <v>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 ht="15" customHeight="1" x14ac:dyDescent="0.3">
      <c r="A3" s="156"/>
      <c r="B3" s="156"/>
      <c r="C3" s="158" t="s">
        <v>2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13" ht="15" customHeight="1" x14ac:dyDescent="0.3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</row>
    <row r="5" spans="1:13" ht="18" customHeight="1" x14ac:dyDescent="0.4">
      <c r="A5" s="156"/>
      <c r="B5" s="156"/>
      <c r="C5" s="159" t="s">
        <v>3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</row>
    <row r="6" spans="1:13" ht="15" customHeight="1" x14ac:dyDescent="0.3">
      <c r="A6" s="156"/>
      <c r="B6" s="156"/>
      <c r="C6" s="156" t="s">
        <v>4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</row>
    <row r="7" spans="1:13" ht="10.5" customHeight="1" x14ac:dyDescent="0.3">
      <c r="A7" s="156"/>
      <c r="B7" s="156"/>
      <c r="C7" s="156" t="s">
        <v>5</v>
      </c>
      <c r="D7" s="156"/>
      <c r="E7" s="156"/>
      <c r="F7" s="156"/>
      <c r="G7" s="156"/>
      <c r="H7" s="156"/>
      <c r="I7" s="156"/>
      <c r="J7" s="156"/>
      <c r="K7" s="156"/>
      <c r="L7" s="156"/>
      <c r="M7" s="156"/>
    </row>
    <row r="8" spans="1:13" ht="15" customHeight="1" x14ac:dyDescent="0.3">
      <c r="A8" s="156"/>
      <c r="B8" s="156"/>
      <c r="C8" s="158" t="s">
        <v>6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</row>
    <row r="9" spans="1:13" ht="15" customHeight="1" x14ac:dyDescent="0.3">
      <c r="A9" s="156"/>
      <c r="B9" s="156"/>
      <c r="C9" s="160"/>
      <c r="D9" s="156"/>
      <c r="E9" s="156"/>
      <c r="F9" s="156"/>
      <c r="G9" s="156"/>
      <c r="H9" s="156"/>
      <c r="I9" s="156"/>
      <c r="J9" s="156"/>
      <c r="K9" s="156"/>
      <c r="L9" s="156"/>
      <c r="M9" s="156"/>
    </row>
    <row r="10" spans="1:13" s="166" customFormat="1" ht="15" customHeight="1" x14ac:dyDescent="0.25">
      <c r="A10" s="161" t="s">
        <v>7</v>
      </c>
      <c r="B10" s="162"/>
      <c r="C10" s="162"/>
      <c r="D10" s="161"/>
      <c r="E10" s="162"/>
      <c r="F10" s="161"/>
      <c r="G10" s="161"/>
      <c r="H10" s="161"/>
      <c r="I10" s="161"/>
      <c r="J10" s="161"/>
      <c r="K10" s="163" t="s">
        <v>8</v>
      </c>
      <c r="L10" s="164">
        <f>M172</f>
        <v>0</v>
      </c>
      <c r="M10" s="165" t="s">
        <v>9</v>
      </c>
    </row>
    <row r="11" spans="1:13" s="166" customFormat="1" ht="15" customHeight="1" x14ac:dyDescent="0.25">
      <c r="A11" s="167"/>
      <c r="B11" s="162"/>
      <c r="C11" s="162"/>
      <c r="D11" s="161"/>
      <c r="E11" s="162"/>
      <c r="F11" s="161"/>
      <c r="G11" s="161"/>
      <c r="H11" s="161"/>
      <c r="I11" s="161"/>
      <c r="J11" s="161"/>
      <c r="K11" s="163" t="s">
        <v>10</v>
      </c>
      <c r="L11" s="168">
        <f>H164</f>
        <v>0</v>
      </c>
      <c r="M11" s="165" t="s">
        <v>9</v>
      </c>
    </row>
    <row r="12" spans="1:13" x14ac:dyDescent="0.3">
      <c r="A12" s="169"/>
      <c r="B12" s="170"/>
      <c r="C12" s="171"/>
      <c r="D12" s="172"/>
      <c r="E12" s="173" t="s">
        <v>11</v>
      </c>
      <c r="F12" s="174"/>
      <c r="G12" s="175" t="s">
        <v>12</v>
      </c>
      <c r="H12" s="176"/>
      <c r="I12" s="177" t="s">
        <v>13</v>
      </c>
      <c r="J12" s="176"/>
      <c r="K12" s="178" t="s">
        <v>14</v>
      </c>
      <c r="L12" s="176"/>
      <c r="M12" s="170"/>
    </row>
    <row r="13" spans="1:13" x14ac:dyDescent="0.3">
      <c r="A13" s="179" t="s">
        <v>15</v>
      </c>
      <c r="B13" s="180" t="s">
        <v>16</v>
      </c>
      <c r="C13" s="156" t="s">
        <v>17</v>
      </c>
      <c r="D13" s="180" t="s">
        <v>18</v>
      </c>
      <c r="E13" s="180" t="s">
        <v>19</v>
      </c>
      <c r="F13" s="162" t="s">
        <v>20</v>
      </c>
      <c r="G13" s="180" t="s">
        <v>21</v>
      </c>
      <c r="H13" s="162" t="s">
        <v>20</v>
      </c>
      <c r="I13" s="180" t="s">
        <v>21</v>
      </c>
      <c r="J13" s="162" t="s">
        <v>20</v>
      </c>
      <c r="K13" s="180" t="s">
        <v>21</v>
      </c>
      <c r="L13" s="162" t="s">
        <v>20</v>
      </c>
      <c r="M13" s="180"/>
    </row>
    <row r="14" spans="1:13" x14ac:dyDescent="0.3">
      <c r="A14" s="181"/>
      <c r="B14" s="182"/>
      <c r="C14" s="183"/>
      <c r="D14" s="184"/>
      <c r="E14" s="182"/>
      <c r="F14" s="183"/>
      <c r="G14" s="182" t="s">
        <v>22</v>
      </c>
      <c r="H14" s="183"/>
      <c r="I14" s="182" t="s">
        <v>22</v>
      </c>
      <c r="J14" s="183"/>
      <c r="K14" s="182" t="s">
        <v>22</v>
      </c>
      <c r="L14" s="183"/>
      <c r="M14" s="182"/>
    </row>
    <row r="15" spans="1:13" x14ac:dyDescent="0.3">
      <c r="A15" s="185" t="s">
        <v>23</v>
      </c>
      <c r="B15" s="186" t="s">
        <v>24</v>
      </c>
      <c r="C15" s="173" t="s">
        <v>25</v>
      </c>
      <c r="D15" s="185" t="s">
        <v>26</v>
      </c>
      <c r="E15" s="186" t="s">
        <v>27</v>
      </c>
      <c r="F15" s="174" t="s">
        <v>28</v>
      </c>
      <c r="G15" s="173" t="s">
        <v>29</v>
      </c>
      <c r="H15" s="185" t="s">
        <v>30</v>
      </c>
      <c r="I15" s="186" t="s">
        <v>31</v>
      </c>
      <c r="J15" s="173" t="s">
        <v>32</v>
      </c>
      <c r="K15" s="186" t="s">
        <v>33</v>
      </c>
      <c r="L15" s="185" t="s">
        <v>34</v>
      </c>
      <c r="M15" s="186" t="s">
        <v>35</v>
      </c>
    </row>
    <row r="16" spans="1:13" s="190" customFormat="1" ht="32.25" customHeight="1" x14ac:dyDescent="0.25">
      <c r="A16" s="187">
        <v>1</v>
      </c>
      <c r="B16" s="188" t="s">
        <v>36</v>
      </c>
      <c r="C16" s="189" t="s">
        <v>165</v>
      </c>
      <c r="D16" s="190" t="s">
        <v>38</v>
      </c>
      <c r="E16" s="191"/>
      <c r="F16" s="192">
        <v>33.5</v>
      </c>
      <c r="G16" s="193"/>
      <c r="H16" s="194"/>
      <c r="I16" s="193"/>
      <c r="J16" s="194"/>
      <c r="K16" s="193"/>
      <c r="L16" s="194"/>
      <c r="M16" s="193"/>
    </row>
    <row r="17" spans="1:14" s="203" customFormat="1" ht="18" customHeight="1" x14ac:dyDescent="0.25">
      <c r="A17" s="195"/>
      <c r="B17" s="195"/>
      <c r="C17" s="195" t="s">
        <v>39</v>
      </c>
      <c r="D17" s="196" t="s">
        <v>40</v>
      </c>
      <c r="E17" s="197">
        <f>(2.581)/0.6005*0.8</f>
        <v>3.4384679433805161</v>
      </c>
      <c r="F17" s="198">
        <f>F16*E17</f>
        <v>115.18867610324729</v>
      </c>
      <c r="G17" s="199">
        <v>0</v>
      </c>
      <c r="H17" s="198">
        <f>F17*G17</f>
        <v>0</v>
      </c>
      <c r="I17" s="200"/>
      <c r="J17" s="201"/>
      <c r="K17" s="200"/>
      <c r="L17" s="201"/>
      <c r="M17" s="202">
        <f>H17</f>
        <v>0</v>
      </c>
    </row>
    <row r="18" spans="1:14" s="210" customFormat="1" ht="40.5" x14ac:dyDescent="0.25">
      <c r="A18" s="189">
        <v>2</v>
      </c>
      <c r="B18" s="188" t="s">
        <v>41</v>
      </c>
      <c r="C18" s="204" t="s">
        <v>179</v>
      </c>
      <c r="D18" s="204" t="s">
        <v>43</v>
      </c>
      <c r="E18" s="204"/>
      <c r="F18" s="205">
        <f>5.21*7+5.2*2</f>
        <v>46.87</v>
      </c>
      <c r="G18" s="206"/>
      <c r="H18" s="207"/>
      <c r="I18" s="206"/>
      <c r="J18" s="207"/>
      <c r="K18" s="208"/>
      <c r="L18" s="209"/>
      <c r="M18" s="208"/>
    </row>
    <row r="19" spans="1:14" s="212" customFormat="1" ht="13.5" x14ac:dyDescent="0.25">
      <c r="A19" s="211"/>
      <c r="C19" s="211" t="s">
        <v>44</v>
      </c>
      <c r="D19" s="211" t="s">
        <v>40</v>
      </c>
      <c r="E19" s="213">
        <f>(1.29)/0.438</f>
        <v>2.945205479452055</v>
      </c>
      <c r="F19" s="214">
        <f>F18*E19</f>
        <v>138.0417808219178</v>
      </c>
      <c r="G19" s="215">
        <v>0</v>
      </c>
      <c r="H19" s="214">
        <f>F19*G19</f>
        <v>0</v>
      </c>
      <c r="I19" s="216"/>
      <c r="J19" s="217"/>
      <c r="K19" s="216"/>
      <c r="L19" s="217"/>
      <c r="M19" s="215">
        <f>H19+J19+L19</f>
        <v>0</v>
      </c>
    </row>
    <row r="20" spans="1:14" s="212" customFormat="1" ht="13.5" x14ac:dyDescent="0.25">
      <c r="A20" s="218"/>
      <c r="B20" s="219" t="s">
        <v>45</v>
      </c>
      <c r="C20" s="218" t="s">
        <v>46</v>
      </c>
      <c r="D20" s="218" t="s">
        <v>47</v>
      </c>
      <c r="E20" s="220" t="s">
        <v>48</v>
      </c>
      <c r="F20" s="221">
        <f>(0.97+0.18)*1.15</f>
        <v>1.3224999999999998</v>
      </c>
      <c r="G20" s="216"/>
      <c r="H20" s="217"/>
      <c r="I20" s="215">
        <v>0</v>
      </c>
      <c r="J20" s="214">
        <f t="shared" ref="J20:J25" si="0">F20*I20</f>
        <v>0</v>
      </c>
      <c r="K20" s="216"/>
      <c r="L20" s="217"/>
      <c r="M20" s="215">
        <f t="shared" ref="M20:M72" si="1">H20+J20+L20</f>
        <v>0</v>
      </c>
    </row>
    <row r="21" spans="1:14" s="212" customFormat="1" ht="13.5" x14ac:dyDescent="0.25">
      <c r="A21" s="218"/>
      <c r="B21" s="218" t="s">
        <v>49</v>
      </c>
      <c r="C21" s="218" t="s">
        <v>50</v>
      </c>
      <c r="D21" s="218" t="s">
        <v>51</v>
      </c>
      <c r="E21" s="222" t="s">
        <v>48</v>
      </c>
      <c r="F21" s="223">
        <v>6</v>
      </c>
      <c r="G21" s="224"/>
      <c r="H21" s="224"/>
      <c r="I21" s="223">
        <v>0</v>
      </c>
      <c r="J21" s="223">
        <f t="shared" si="0"/>
        <v>0</v>
      </c>
      <c r="K21" s="224"/>
      <c r="L21" s="224"/>
      <c r="M21" s="215">
        <f t="shared" si="1"/>
        <v>0</v>
      </c>
      <c r="N21" s="218"/>
    </row>
    <row r="22" spans="1:14" s="212" customFormat="1" ht="13.5" x14ac:dyDescent="0.25">
      <c r="A22" s="218"/>
      <c r="B22" s="218" t="s">
        <v>52</v>
      </c>
      <c r="C22" s="218" t="s">
        <v>53</v>
      </c>
      <c r="D22" s="218" t="s">
        <v>54</v>
      </c>
      <c r="E22" s="218">
        <v>3.4000000000000002E-2</v>
      </c>
      <c r="F22" s="223">
        <f>F18*E22</f>
        <v>1.59358</v>
      </c>
      <c r="G22" s="223"/>
      <c r="H22" s="223"/>
      <c r="I22" s="223">
        <v>0</v>
      </c>
      <c r="J22" s="223">
        <f t="shared" si="0"/>
        <v>0</v>
      </c>
      <c r="K22" s="224"/>
      <c r="L22" s="224"/>
      <c r="M22" s="215">
        <f t="shared" si="1"/>
        <v>0</v>
      </c>
      <c r="N22" s="218"/>
    </row>
    <row r="23" spans="1:14" s="212" customFormat="1" ht="13.5" x14ac:dyDescent="0.25">
      <c r="A23" s="218"/>
      <c r="B23" s="218"/>
      <c r="C23" s="218" t="s">
        <v>55</v>
      </c>
      <c r="D23" s="218" t="s">
        <v>38</v>
      </c>
      <c r="E23" s="211">
        <v>0.04</v>
      </c>
      <c r="F23" s="214">
        <f>F18*E23</f>
        <v>1.8748</v>
      </c>
      <c r="G23" s="216"/>
      <c r="H23" s="217"/>
      <c r="I23" s="223">
        <v>0</v>
      </c>
      <c r="J23" s="214">
        <f t="shared" si="0"/>
        <v>0</v>
      </c>
      <c r="K23" s="216"/>
      <c r="L23" s="217"/>
      <c r="M23" s="215">
        <f t="shared" si="1"/>
        <v>0</v>
      </c>
    </row>
    <row r="24" spans="1:14" s="212" customFormat="1" ht="13.5" x14ac:dyDescent="0.25">
      <c r="A24" s="218"/>
      <c r="B24" s="218" t="s">
        <v>56</v>
      </c>
      <c r="C24" s="218" t="s">
        <v>57</v>
      </c>
      <c r="D24" s="218" t="s">
        <v>38</v>
      </c>
      <c r="E24" s="211">
        <v>0.16</v>
      </c>
      <c r="F24" s="214">
        <f>F18*E24</f>
        <v>7.4992000000000001</v>
      </c>
      <c r="G24" s="216"/>
      <c r="H24" s="217"/>
      <c r="I24" s="223">
        <v>0</v>
      </c>
      <c r="J24" s="214">
        <f t="shared" si="0"/>
        <v>0</v>
      </c>
      <c r="K24" s="216"/>
      <c r="L24" s="217"/>
      <c r="M24" s="215">
        <f t="shared" si="1"/>
        <v>0</v>
      </c>
    </row>
    <row r="25" spans="1:14" s="212" customFormat="1" ht="13.5" x14ac:dyDescent="0.25">
      <c r="A25" s="225"/>
      <c r="B25" s="225"/>
      <c r="C25" s="225" t="s">
        <v>58</v>
      </c>
      <c r="D25" s="225" t="s">
        <v>54</v>
      </c>
      <c r="E25" s="226">
        <v>0.1</v>
      </c>
      <c r="F25" s="227">
        <f>F18*E25</f>
        <v>4.6870000000000003</v>
      </c>
      <c r="G25" s="228"/>
      <c r="H25" s="229"/>
      <c r="I25" s="223">
        <v>0</v>
      </c>
      <c r="J25" s="227">
        <f t="shared" si="0"/>
        <v>0</v>
      </c>
      <c r="K25" s="228"/>
      <c r="L25" s="229"/>
      <c r="M25" s="226">
        <f t="shared" si="1"/>
        <v>0</v>
      </c>
    </row>
    <row r="26" spans="1:14" s="210" customFormat="1" ht="26.25" customHeight="1" x14ac:dyDescent="0.25">
      <c r="A26" s="230">
        <v>3</v>
      </c>
      <c r="B26" s="231" t="s">
        <v>60</v>
      </c>
      <c r="C26" s="189" t="s">
        <v>162</v>
      </c>
      <c r="D26" s="232" t="s">
        <v>38</v>
      </c>
      <c r="E26" s="233"/>
      <c r="F26" s="209">
        <f>70/2</f>
        <v>35</v>
      </c>
      <c r="G26" s="234"/>
      <c r="H26" s="235"/>
      <c r="I26" s="234"/>
      <c r="J26" s="235"/>
      <c r="K26" s="208"/>
      <c r="M26" s="215"/>
    </row>
    <row r="27" spans="1:14" s="203" customFormat="1" ht="17.25" customHeight="1" x14ac:dyDescent="0.25">
      <c r="A27" s="236"/>
      <c r="B27" s="236"/>
      <c r="C27" s="236" t="s">
        <v>61</v>
      </c>
      <c r="D27" s="237" t="s">
        <v>168</v>
      </c>
      <c r="E27" s="238">
        <f>32.8/100</f>
        <v>0.32799999999999996</v>
      </c>
      <c r="F27" s="239">
        <f>F26*E27</f>
        <v>11.479999999999999</v>
      </c>
      <c r="G27" s="240">
        <v>0</v>
      </c>
      <c r="H27" s="241">
        <f>F27*G27</f>
        <v>0</v>
      </c>
      <c r="I27" s="242"/>
      <c r="J27" s="243"/>
      <c r="K27" s="242"/>
      <c r="L27" s="243"/>
      <c r="M27" s="215">
        <f t="shared" si="1"/>
        <v>0</v>
      </c>
    </row>
    <row r="28" spans="1:14" s="203" customFormat="1" ht="17.25" customHeight="1" x14ac:dyDescent="0.25">
      <c r="A28" s="236"/>
      <c r="C28" s="244" t="s">
        <v>63</v>
      </c>
      <c r="D28" s="237" t="s">
        <v>64</v>
      </c>
      <c r="E28" s="245">
        <f>2.63/100</f>
        <v>2.63E-2</v>
      </c>
      <c r="F28" s="239">
        <f>F26*E28</f>
        <v>0.92049999999999998</v>
      </c>
      <c r="G28" s="246"/>
      <c r="H28" s="243"/>
      <c r="I28" s="240"/>
      <c r="J28" s="241"/>
      <c r="K28" s="240">
        <v>0</v>
      </c>
      <c r="L28" s="241">
        <f>F28*K28</f>
        <v>0</v>
      </c>
      <c r="M28" s="215">
        <f t="shared" si="1"/>
        <v>0</v>
      </c>
    </row>
    <row r="29" spans="1:14" s="203" customFormat="1" ht="17.25" customHeight="1" x14ac:dyDescent="0.25">
      <c r="A29" s="236"/>
      <c r="B29" s="203" t="s">
        <v>65</v>
      </c>
      <c r="C29" s="237" t="s">
        <v>66</v>
      </c>
      <c r="D29" s="247" t="s">
        <v>38</v>
      </c>
      <c r="E29" s="238">
        <v>1.1499999999999999</v>
      </c>
      <c r="F29" s="239">
        <f>F26*E29</f>
        <v>40.25</v>
      </c>
      <c r="G29" s="246"/>
      <c r="H29" s="243"/>
      <c r="I29" s="223">
        <v>0</v>
      </c>
      <c r="J29" s="241">
        <f>F29*I29</f>
        <v>0</v>
      </c>
      <c r="K29" s="242"/>
      <c r="L29" s="243"/>
      <c r="M29" s="215">
        <f t="shared" si="1"/>
        <v>0</v>
      </c>
    </row>
    <row r="30" spans="1:14" s="203" customFormat="1" ht="17.25" customHeight="1" x14ac:dyDescent="0.25">
      <c r="A30" s="236"/>
      <c r="B30" s="203" t="s">
        <v>67</v>
      </c>
      <c r="C30" s="237" t="s">
        <v>68</v>
      </c>
      <c r="D30" s="247" t="s">
        <v>38</v>
      </c>
      <c r="E30" s="238">
        <v>1.23</v>
      </c>
      <c r="F30" s="239">
        <f>F26*E30</f>
        <v>43.05</v>
      </c>
      <c r="G30" s="246"/>
      <c r="H30" s="243"/>
      <c r="I30" s="223">
        <v>0</v>
      </c>
      <c r="J30" s="241">
        <f>F30*I30</f>
        <v>0</v>
      </c>
      <c r="K30" s="242"/>
      <c r="L30" s="243"/>
      <c r="M30" s="215">
        <f t="shared" si="1"/>
        <v>0</v>
      </c>
    </row>
    <row r="31" spans="1:14" s="203" customFormat="1" ht="17.25" customHeight="1" x14ac:dyDescent="0.25">
      <c r="A31" s="236"/>
      <c r="B31" s="203" t="s">
        <v>69</v>
      </c>
      <c r="C31" s="236" t="s">
        <v>70</v>
      </c>
      <c r="D31" s="203" t="s">
        <v>54</v>
      </c>
      <c r="E31" s="238">
        <f>40/100</f>
        <v>0.4</v>
      </c>
      <c r="F31" s="239">
        <f>F26*E31</f>
        <v>14</v>
      </c>
      <c r="G31" s="246"/>
      <c r="H31" s="243"/>
      <c r="I31" s="223">
        <v>0</v>
      </c>
      <c r="J31" s="241">
        <f>F31*I31</f>
        <v>0</v>
      </c>
      <c r="K31" s="242"/>
      <c r="L31" s="243"/>
      <c r="M31" s="215">
        <f t="shared" si="1"/>
        <v>0</v>
      </c>
    </row>
    <row r="32" spans="1:14" s="203" customFormat="1" ht="17.25" customHeight="1" x14ac:dyDescent="0.25">
      <c r="A32" s="195"/>
      <c r="B32" s="196"/>
      <c r="C32" s="195" t="s">
        <v>71</v>
      </c>
      <c r="D32" s="248" t="s">
        <v>64</v>
      </c>
      <c r="E32" s="249">
        <f>6.4/100</f>
        <v>6.4000000000000001E-2</v>
      </c>
      <c r="F32" s="250">
        <f>F26*E32</f>
        <v>2.2400000000000002</v>
      </c>
      <c r="G32" s="251"/>
      <c r="H32" s="201"/>
      <c r="I32" s="223">
        <v>0</v>
      </c>
      <c r="J32" s="198">
        <f>F32*I32</f>
        <v>0</v>
      </c>
      <c r="K32" s="200"/>
      <c r="L32" s="201"/>
      <c r="M32" s="226">
        <f t="shared" si="1"/>
        <v>0</v>
      </c>
    </row>
    <row r="33" spans="1:14" s="190" customFormat="1" ht="32.25" customHeight="1" x14ac:dyDescent="0.25">
      <c r="A33" s="187">
        <v>4</v>
      </c>
      <c r="B33" s="188" t="s">
        <v>36</v>
      </c>
      <c r="C33" s="189" t="s">
        <v>72</v>
      </c>
      <c r="D33" s="190" t="s">
        <v>38</v>
      </c>
      <c r="E33" s="191"/>
      <c r="F33" s="192">
        <v>34.799999999999997</v>
      </c>
      <c r="G33" s="193"/>
      <c r="H33" s="194"/>
      <c r="I33" s="193"/>
      <c r="J33" s="194"/>
      <c r="K33" s="193"/>
      <c r="L33" s="194"/>
      <c r="M33" s="215"/>
    </row>
    <row r="34" spans="1:14" s="203" customFormat="1" ht="18" customHeight="1" x14ac:dyDescent="0.25">
      <c r="A34" s="236"/>
      <c r="B34" s="236"/>
      <c r="C34" s="236" t="s">
        <v>44</v>
      </c>
      <c r="D34" s="203" t="s">
        <v>40</v>
      </c>
      <c r="E34" s="213">
        <f>(2.581)/0.438</f>
        <v>5.8926940639269407</v>
      </c>
      <c r="F34" s="241">
        <f>F33*E34</f>
        <v>205.06575342465752</v>
      </c>
      <c r="G34" s="240">
        <v>0</v>
      </c>
      <c r="H34" s="241">
        <f>F34*G34</f>
        <v>0</v>
      </c>
      <c r="I34" s="242"/>
      <c r="J34" s="243"/>
      <c r="K34" s="242"/>
      <c r="L34" s="243"/>
      <c r="M34" s="215">
        <f t="shared" ref="M34:M36" si="2">H34+J34+L34</f>
        <v>0</v>
      </c>
    </row>
    <row r="35" spans="1:14" s="203" customFormat="1" ht="18" customHeight="1" x14ac:dyDescent="0.25">
      <c r="A35" s="236"/>
      <c r="B35" s="252" t="s">
        <v>73</v>
      </c>
      <c r="C35" s="236" t="s">
        <v>74</v>
      </c>
      <c r="D35" s="203" t="s">
        <v>38</v>
      </c>
      <c r="E35" s="253" t="s">
        <v>48</v>
      </c>
      <c r="F35" s="241">
        <v>41</v>
      </c>
      <c r="G35" s="246"/>
      <c r="H35" s="243"/>
      <c r="I35" s="223">
        <v>0</v>
      </c>
      <c r="J35" s="241">
        <f>F35*I35</f>
        <v>0</v>
      </c>
      <c r="K35" s="242"/>
      <c r="L35" s="243"/>
      <c r="M35" s="215">
        <f t="shared" si="2"/>
        <v>0</v>
      </c>
    </row>
    <row r="36" spans="1:14" s="212" customFormat="1" ht="13.5" x14ac:dyDescent="0.25">
      <c r="A36" s="225"/>
      <c r="B36" s="254" t="s">
        <v>75</v>
      </c>
      <c r="C36" s="225" t="s">
        <v>76</v>
      </c>
      <c r="D36" s="225" t="s">
        <v>51</v>
      </c>
      <c r="E36" s="255" t="s">
        <v>48</v>
      </c>
      <c r="F36" s="256">
        <f>190/2</f>
        <v>95</v>
      </c>
      <c r="G36" s="257"/>
      <c r="H36" s="257"/>
      <c r="I36" s="223">
        <v>0</v>
      </c>
      <c r="J36" s="256">
        <f t="shared" ref="J36" si="3">F36*I36</f>
        <v>0</v>
      </c>
      <c r="K36" s="257"/>
      <c r="L36" s="257"/>
      <c r="M36" s="226">
        <f t="shared" si="2"/>
        <v>0</v>
      </c>
      <c r="N36" s="218"/>
    </row>
    <row r="37" spans="1:14" s="190" customFormat="1" ht="32.25" customHeight="1" x14ac:dyDescent="0.25">
      <c r="A37" s="187">
        <v>5</v>
      </c>
      <c r="B37" s="188" t="s">
        <v>36</v>
      </c>
      <c r="C37" s="189" t="s">
        <v>77</v>
      </c>
      <c r="D37" s="190" t="s">
        <v>38</v>
      </c>
      <c r="E37" s="191"/>
      <c r="F37" s="192">
        <v>34.799999999999997</v>
      </c>
      <c r="G37" s="193"/>
      <c r="H37" s="194"/>
      <c r="I37" s="193"/>
      <c r="J37" s="194"/>
      <c r="K37" s="193"/>
      <c r="L37" s="194"/>
      <c r="M37" s="215"/>
    </row>
    <row r="38" spans="1:14" s="203" customFormat="1" ht="18" customHeight="1" x14ac:dyDescent="0.25">
      <c r="A38" s="236"/>
      <c r="B38" s="236"/>
      <c r="C38" s="236" t="s">
        <v>44</v>
      </c>
      <c r="D38" s="203" t="s">
        <v>40</v>
      </c>
      <c r="E38" s="213">
        <f>(2.581)/0.438</f>
        <v>5.8926940639269407</v>
      </c>
      <c r="F38" s="241">
        <f>F37*E38</f>
        <v>205.06575342465752</v>
      </c>
      <c r="G38" s="240">
        <v>0</v>
      </c>
      <c r="H38" s="241">
        <f>F38*G38</f>
        <v>0</v>
      </c>
      <c r="I38" s="242"/>
      <c r="J38" s="243"/>
      <c r="K38" s="242"/>
      <c r="L38" s="243"/>
      <c r="M38" s="215">
        <f t="shared" si="1"/>
        <v>0</v>
      </c>
    </row>
    <row r="39" spans="1:14" s="203" customFormat="1" ht="18" customHeight="1" x14ac:dyDescent="0.25">
      <c r="A39" s="236"/>
      <c r="B39" s="252" t="s">
        <v>73</v>
      </c>
      <c r="C39" s="236" t="s">
        <v>74</v>
      </c>
      <c r="D39" s="203" t="s">
        <v>38</v>
      </c>
      <c r="E39" s="253" t="s">
        <v>48</v>
      </c>
      <c r="F39" s="241">
        <v>41</v>
      </c>
      <c r="G39" s="246"/>
      <c r="H39" s="243"/>
      <c r="I39" s="223">
        <v>0</v>
      </c>
      <c r="J39" s="241">
        <f>F39*I39</f>
        <v>0</v>
      </c>
      <c r="K39" s="242"/>
      <c r="L39" s="243"/>
      <c r="M39" s="215">
        <f t="shared" si="1"/>
        <v>0</v>
      </c>
    </row>
    <row r="40" spans="1:14" s="212" customFormat="1" ht="13.5" x14ac:dyDescent="0.25">
      <c r="A40" s="225"/>
      <c r="B40" s="254" t="s">
        <v>75</v>
      </c>
      <c r="C40" s="225" t="s">
        <v>76</v>
      </c>
      <c r="D40" s="225" t="s">
        <v>51</v>
      </c>
      <c r="E40" s="255" t="s">
        <v>48</v>
      </c>
      <c r="F40" s="256">
        <v>95</v>
      </c>
      <c r="G40" s="257"/>
      <c r="H40" s="257"/>
      <c r="I40" s="223">
        <v>0</v>
      </c>
      <c r="J40" s="256">
        <f t="shared" ref="J40" si="4">F40*I40</f>
        <v>0</v>
      </c>
      <c r="K40" s="257"/>
      <c r="L40" s="257"/>
      <c r="M40" s="226">
        <f t="shared" si="1"/>
        <v>0</v>
      </c>
      <c r="N40" s="218"/>
    </row>
    <row r="41" spans="1:14" s="210" customFormat="1" ht="38.25" x14ac:dyDescent="0.25">
      <c r="A41" s="189">
        <v>6</v>
      </c>
      <c r="B41" s="188" t="s">
        <v>78</v>
      </c>
      <c r="C41" s="189" t="s">
        <v>79</v>
      </c>
      <c r="D41" s="210" t="s">
        <v>47</v>
      </c>
      <c r="E41" s="233"/>
      <c r="F41" s="209">
        <v>2</v>
      </c>
      <c r="G41" s="234"/>
      <c r="H41" s="235"/>
      <c r="I41" s="208"/>
      <c r="K41" s="234"/>
      <c r="L41" s="235"/>
      <c r="M41" s="215"/>
    </row>
    <row r="42" spans="1:14" s="212" customFormat="1" ht="13.5" x14ac:dyDescent="0.25">
      <c r="A42" s="211"/>
      <c r="B42" s="211"/>
      <c r="C42" s="211" t="s">
        <v>44</v>
      </c>
      <c r="D42" s="211" t="s">
        <v>40</v>
      </c>
      <c r="E42" s="258">
        <f>(4.31+15.23)/0.6005</f>
        <v>32.539550374687757</v>
      </c>
      <c r="F42" s="221">
        <f>F41*E42</f>
        <v>65.079100749375513</v>
      </c>
      <c r="G42" s="240">
        <v>0</v>
      </c>
      <c r="H42" s="214">
        <f>F42*G42</f>
        <v>0</v>
      </c>
      <c r="I42" s="216"/>
      <c r="J42" s="217"/>
      <c r="K42" s="216"/>
      <c r="L42" s="217"/>
      <c r="M42" s="215">
        <f t="shared" si="1"/>
        <v>0</v>
      </c>
    </row>
    <row r="43" spans="1:14" s="212" customFormat="1" ht="13.5" x14ac:dyDescent="0.25">
      <c r="A43" s="211"/>
      <c r="C43" s="211" t="s">
        <v>80</v>
      </c>
      <c r="D43" s="212" t="s">
        <v>47</v>
      </c>
      <c r="E43" s="258">
        <v>1.2</v>
      </c>
      <c r="F43" s="221">
        <f>F41*E43</f>
        <v>2.4</v>
      </c>
      <c r="G43" s="259"/>
      <c r="H43" s="217"/>
      <c r="I43" s="215"/>
      <c r="J43" s="214"/>
      <c r="K43" s="216"/>
      <c r="L43" s="217"/>
      <c r="M43" s="215">
        <f t="shared" si="1"/>
        <v>0</v>
      </c>
    </row>
    <row r="44" spans="1:14" s="212" customFormat="1" ht="13.5" x14ac:dyDescent="0.25">
      <c r="A44" s="211"/>
      <c r="C44" s="211" t="s">
        <v>81</v>
      </c>
      <c r="D44" s="212" t="s">
        <v>82</v>
      </c>
      <c r="E44" s="258">
        <v>3.2000000000000001E-2</v>
      </c>
      <c r="F44" s="221">
        <f>F41*E44</f>
        <v>6.4000000000000001E-2</v>
      </c>
      <c r="G44" s="259"/>
      <c r="H44" s="217"/>
      <c r="I44" s="223">
        <v>0</v>
      </c>
      <c r="J44" s="214">
        <f t="shared" ref="J44:J47" si="5">F44*I44</f>
        <v>0</v>
      </c>
      <c r="K44" s="216"/>
      <c r="L44" s="217"/>
      <c r="M44" s="215">
        <f t="shared" si="1"/>
        <v>0</v>
      </c>
      <c r="N44" s="260"/>
    </row>
    <row r="45" spans="1:14" s="212" customFormat="1" ht="13.5" x14ac:dyDescent="0.25">
      <c r="A45" s="211"/>
      <c r="B45" s="212" t="s">
        <v>83</v>
      </c>
      <c r="C45" s="211" t="s">
        <v>84</v>
      </c>
      <c r="D45" s="212" t="s">
        <v>82</v>
      </c>
      <c r="E45" s="258">
        <v>0.06</v>
      </c>
      <c r="F45" s="221">
        <f>F41*E45</f>
        <v>0.12</v>
      </c>
      <c r="G45" s="259"/>
      <c r="H45" s="217"/>
      <c r="I45" s="223">
        <v>0</v>
      </c>
      <c r="J45" s="214">
        <f t="shared" si="5"/>
        <v>0</v>
      </c>
      <c r="K45" s="216"/>
      <c r="L45" s="217"/>
      <c r="M45" s="215">
        <f t="shared" si="1"/>
        <v>0</v>
      </c>
    </row>
    <row r="46" spans="1:14" s="212" customFormat="1" ht="13.5" x14ac:dyDescent="0.25">
      <c r="A46" s="211"/>
      <c r="B46" s="212" t="s">
        <v>85</v>
      </c>
      <c r="C46" s="211" t="s">
        <v>86</v>
      </c>
      <c r="D46" s="212" t="s">
        <v>47</v>
      </c>
      <c r="E46" s="258">
        <v>0.19</v>
      </c>
      <c r="F46" s="221">
        <f>F41*E46</f>
        <v>0.38</v>
      </c>
      <c r="G46" s="259"/>
      <c r="H46" s="217"/>
      <c r="I46" s="223">
        <v>0</v>
      </c>
      <c r="J46" s="214">
        <f t="shared" si="5"/>
        <v>0</v>
      </c>
      <c r="K46" s="216"/>
      <c r="L46" s="217"/>
      <c r="M46" s="215">
        <f t="shared" si="1"/>
        <v>0</v>
      </c>
    </row>
    <row r="47" spans="1:14" s="212" customFormat="1" ht="13.5" x14ac:dyDescent="0.25">
      <c r="A47" s="254"/>
      <c r="B47" s="261" t="s">
        <v>87</v>
      </c>
      <c r="C47" s="254" t="s">
        <v>88</v>
      </c>
      <c r="D47" s="261" t="s">
        <v>47</v>
      </c>
      <c r="E47" s="262">
        <v>0.47</v>
      </c>
      <c r="F47" s="263">
        <f>F41*E47</f>
        <v>0.94</v>
      </c>
      <c r="G47" s="264"/>
      <c r="H47" s="229"/>
      <c r="I47" s="223">
        <v>0</v>
      </c>
      <c r="J47" s="227">
        <f t="shared" si="5"/>
        <v>0</v>
      </c>
      <c r="K47" s="228"/>
      <c r="L47" s="229"/>
      <c r="M47" s="226">
        <f t="shared" si="1"/>
        <v>0</v>
      </c>
    </row>
    <row r="48" spans="1:14" s="210" customFormat="1" ht="34.9" customHeight="1" x14ac:dyDescent="0.25">
      <c r="A48" s="189">
        <v>7</v>
      </c>
      <c r="B48" s="210" t="s">
        <v>92</v>
      </c>
      <c r="C48" s="189" t="s">
        <v>93</v>
      </c>
      <c r="D48" s="210" t="s">
        <v>38</v>
      </c>
      <c r="E48" s="233"/>
      <c r="F48" s="209">
        <v>50</v>
      </c>
      <c r="G48" s="234"/>
      <c r="H48" s="235"/>
      <c r="I48" s="208"/>
      <c r="K48" s="234"/>
      <c r="L48" s="235"/>
      <c r="M48" s="215"/>
    </row>
    <row r="49" spans="1:14" s="212" customFormat="1" ht="13.5" x14ac:dyDescent="0.25">
      <c r="A49" s="211"/>
      <c r="B49" s="211"/>
      <c r="C49" s="211" t="s">
        <v>44</v>
      </c>
      <c r="D49" s="211" t="s">
        <v>40</v>
      </c>
      <c r="E49" s="213">
        <f>1/0.438</f>
        <v>2.2831050228310503</v>
      </c>
      <c r="F49" s="221">
        <f>F48*E49</f>
        <v>114.15525114155251</v>
      </c>
      <c r="G49" s="240">
        <v>0</v>
      </c>
      <c r="H49" s="214">
        <f>F49*G49</f>
        <v>0</v>
      </c>
      <c r="I49" s="216"/>
      <c r="J49" s="217"/>
      <c r="K49" s="216"/>
      <c r="L49" s="217"/>
      <c r="M49" s="215">
        <f t="shared" si="1"/>
        <v>0</v>
      </c>
    </row>
    <row r="50" spans="1:14" s="266" customFormat="1" ht="13.5" x14ac:dyDescent="0.25">
      <c r="A50" s="211"/>
      <c r="B50" s="212"/>
      <c r="C50" s="211" t="s">
        <v>81</v>
      </c>
      <c r="D50" s="212" t="s">
        <v>82</v>
      </c>
      <c r="E50" s="265">
        <v>1.0200000000000001E-3</v>
      </c>
      <c r="F50" s="221">
        <f>F48*E50</f>
        <v>5.1000000000000004E-2</v>
      </c>
      <c r="G50" s="259"/>
      <c r="H50" s="217"/>
      <c r="I50" s="223">
        <v>0</v>
      </c>
      <c r="J50" s="214">
        <f>F50*I50</f>
        <v>0</v>
      </c>
      <c r="K50" s="216"/>
      <c r="L50" s="217"/>
      <c r="M50" s="215">
        <f t="shared" si="1"/>
        <v>0</v>
      </c>
    </row>
    <row r="51" spans="1:14" s="266" customFormat="1" ht="13.5" x14ac:dyDescent="0.25">
      <c r="A51" s="211"/>
      <c r="B51" s="212" t="s">
        <v>87</v>
      </c>
      <c r="C51" s="211" t="s">
        <v>88</v>
      </c>
      <c r="D51" s="212" t="s">
        <v>47</v>
      </c>
      <c r="E51" s="265">
        <v>3.5999999999999999E-3</v>
      </c>
      <c r="F51" s="221">
        <f>F48*E51</f>
        <v>0.18</v>
      </c>
      <c r="G51" s="259"/>
      <c r="H51" s="217"/>
      <c r="I51" s="223">
        <v>0</v>
      </c>
      <c r="J51" s="214">
        <f>F51*I51</f>
        <v>0</v>
      </c>
      <c r="K51" s="216"/>
      <c r="L51" s="217"/>
      <c r="M51" s="215">
        <f t="shared" si="1"/>
        <v>0</v>
      </c>
    </row>
    <row r="52" spans="1:14" s="266" customFormat="1" ht="13.5" x14ac:dyDescent="0.25">
      <c r="A52" s="254"/>
      <c r="B52" s="254" t="s">
        <v>85</v>
      </c>
      <c r="C52" s="254" t="s">
        <v>86</v>
      </c>
      <c r="D52" s="261" t="s">
        <v>47</v>
      </c>
      <c r="E52" s="267">
        <v>8.6999999999999994E-3</v>
      </c>
      <c r="F52" s="263">
        <f>F48*E52</f>
        <v>0.43499999999999994</v>
      </c>
      <c r="G52" s="264"/>
      <c r="H52" s="229"/>
      <c r="I52" s="223">
        <v>0</v>
      </c>
      <c r="J52" s="227">
        <f>F52*I52</f>
        <v>0</v>
      </c>
      <c r="K52" s="228"/>
      <c r="L52" s="229"/>
      <c r="M52" s="226">
        <f t="shared" si="1"/>
        <v>0</v>
      </c>
    </row>
    <row r="53" spans="1:14" s="269" customFormat="1" ht="13.5" x14ac:dyDescent="0.25">
      <c r="A53" s="268">
        <v>8</v>
      </c>
      <c r="B53" s="268" t="s">
        <v>94</v>
      </c>
      <c r="C53" s="189" t="s">
        <v>95</v>
      </c>
      <c r="D53" s="269" t="s">
        <v>38</v>
      </c>
      <c r="E53" s="270"/>
      <c r="F53" s="271">
        <v>26.5</v>
      </c>
      <c r="G53" s="272"/>
      <c r="H53" s="272"/>
      <c r="I53" s="273"/>
      <c r="J53" s="274"/>
      <c r="K53" s="272"/>
      <c r="M53" s="215"/>
    </row>
    <row r="54" spans="1:14" s="266" customFormat="1" ht="13.5" x14ac:dyDescent="0.25">
      <c r="A54" s="211"/>
      <c r="C54" s="211" t="s">
        <v>44</v>
      </c>
      <c r="D54" s="211" t="s">
        <v>40</v>
      </c>
      <c r="E54" s="258">
        <v>1.1000000000000001</v>
      </c>
      <c r="F54" s="221">
        <f>F53*E54</f>
        <v>29.150000000000002</v>
      </c>
      <c r="G54" s="240">
        <v>0</v>
      </c>
      <c r="H54" s="214">
        <f>F54*G54</f>
        <v>0</v>
      </c>
      <c r="I54" s="259"/>
      <c r="J54" s="275"/>
      <c r="K54" s="259"/>
      <c r="L54" s="275"/>
      <c r="M54" s="215">
        <f t="shared" si="1"/>
        <v>0</v>
      </c>
    </row>
    <row r="55" spans="1:14" s="266" customFormat="1" ht="13.5" x14ac:dyDescent="0.25">
      <c r="A55" s="254"/>
      <c r="B55" s="261"/>
      <c r="C55" s="254" t="s">
        <v>63</v>
      </c>
      <c r="D55" s="261" t="s">
        <v>9</v>
      </c>
      <c r="E55" s="262">
        <v>0.10299999999999999</v>
      </c>
      <c r="F55" s="263">
        <f>F53*E55</f>
        <v>2.7294999999999998</v>
      </c>
      <c r="G55" s="226"/>
      <c r="H55" s="276"/>
      <c r="I55" s="254"/>
      <c r="J55" s="261"/>
      <c r="K55" s="226">
        <v>0</v>
      </c>
      <c r="L55" s="227">
        <f>F55*K55</f>
        <v>0</v>
      </c>
      <c r="M55" s="226">
        <f t="shared" si="1"/>
        <v>0</v>
      </c>
    </row>
    <row r="56" spans="1:14" s="210" customFormat="1" ht="40.5" x14ac:dyDescent="0.25">
      <c r="A56" s="189">
        <v>9</v>
      </c>
      <c r="B56" s="188" t="s">
        <v>41</v>
      </c>
      <c r="C56" s="204" t="s">
        <v>180</v>
      </c>
      <c r="D56" s="204" t="s">
        <v>43</v>
      </c>
      <c r="E56" s="204"/>
      <c r="F56" s="205">
        <v>23.76</v>
      </c>
      <c r="G56" s="206"/>
      <c r="H56" s="207"/>
      <c r="I56" s="206"/>
      <c r="J56" s="207"/>
      <c r="K56" s="208"/>
      <c r="L56" s="209"/>
      <c r="M56" s="215"/>
    </row>
    <row r="57" spans="1:14" s="212" customFormat="1" ht="13.5" x14ac:dyDescent="0.25">
      <c r="A57" s="211"/>
      <c r="C57" s="211" t="s">
        <v>44</v>
      </c>
      <c r="D57" s="211" t="s">
        <v>40</v>
      </c>
      <c r="E57" s="213">
        <f>(1.29)/0.438</f>
        <v>2.945205479452055</v>
      </c>
      <c r="F57" s="214">
        <f>F56*E57</f>
        <v>69.978082191780828</v>
      </c>
      <c r="G57" s="240">
        <v>0</v>
      </c>
      <c r="H57" s="214">
        <f>F57*G57</f>
        <v>0</v>
      </c>
      <c r="I57" s="216"/>
      <c r="J57" s="217"/>
      <c r="K57" s="216"/>
      <c r="L57" s="217"/>
      <c r="M57" s="215">
        <f t="shared" si="1"/>
        <v>0</v>
      </c>
    </row>
    <row r="58" spans="1:14" s="212" customFormat="1" ht="13.5" x14ac:dyDescent="0.25">
      <c r="A58" s="218"/>
      <c r="B58" s="219" t="s">
        <v>45</v>
      </c>
      <c r="C58" s="218" t="s">
        <v>46</v>
      </c>
      <c r="D58" s="218" t="s">
        <v>47</v>
      </c>
      <c r="E58" s="220" t="s">
        <v>48</v>
      </c>
      <c r="F58" s="214">
        <v>0.75</v>
      </c>
      <c r="G58" s="216"/>
      <c r="H58" s="217"/>
      <c r="I58" s="223">
        <v>0</v>
      </c>
      <c r="J58" s="214">
        <f t="shared" ref="J58:J62" si="6">F58*I58</f>
        <v>0</v>
      </c>
      <c r="K58" s="216"/>
      <c r="L58" s="217"/>
      <c r="M58" s="215">
        <f t="shared" si="1"/>
        <v>0</v>
      </c>
    </row>
    <row r="59" spans="1:14" s="212" customFormat="1" ht="13.5" x14ac:dyDescent="0.25">
      <c r="A59" s="218"/>
      <c r="B59" s="218" t="s">
        <v>52</v>
      </c>
      <c r="C59" s="218" t="s">
        <v>53</v>
      </c>
      <c r="D59" s="218" t="s">
        <v>54</v>
      </c>
      <c r="E59" s="218">
        <v>3.4000000000000002E-2</v>
      </c>
      <c r="F59" s="223">
        <f>F56*E59</f>
        <v>0.80784000000000011</v>
      </c>
      <c r="G59" s="223"/>
      <c r="H59" s="223"/>
      <c r="I59" s="223">
        <v>0</v>
      </c>
      <c r="J59" s="223">
        <f t="shared" si="6"/>
        <v>0</v>
      </c>
      <c r="K59" s="224"/>
      <c r="L59" s="224"/>
      <c r="M59" s="215">
        <f t="shared" si="1"/>
        <v>0</v>
      </c>
      <c r="N59" s="218"/>
    </row>
    <row r="60" spans="1:14" s="212" customFormat="1" ht="13.5" x14ac:dyDescent="0.25">
      <c r="A60" s="218"/>
      <c r="B60" s="218"/>
      <c r="C60" s="218" t="s">
        <v>55</v>
      </c>
      <c r="D60" s="218" t="s">
        <v>38</v>
      </c>
      <c r="E60" s="211">
        <v>0.04</v>
      </c>
      <c r="F60" s="214">
        <f>F56*E60</f>
        <v>0.95040000000000013</v>
      </c>
      <c r="G60" s="216"/>
      <c r="H60" s="217"/>
      <c r="I60" s="223">
        <v>0</v>
      </c>
      <c r="J60" s="214">
        <f t="shared" si="6"/>
        <v>0</v>
      </c>
      <c r="K60" s="216"/>
      <c r="L60" s="217"/>
      <c r="M60" s="215">
        <f t="shared" si="1"/>
        <v>0</v>
      </c>
    </row>
    <row r="61" spans="1:14" s="212" customFormat="1" ht="13.5" x14ac:dyDescent="0.25">
      <c r="A61" s="218"/>
      <c r="B61" s="218" t="s">
        <v>56</v>
      </c>
      <c r="C61" s="218" t="s">
        <v>57</v>
      </c>
      <c r="D61" s="218" t="s">
        <v>38</v>
      </c>
      <c r="E61" s="211">
        <v>0.16</v>
      </c>
      <c r="F61" s="214">
        <f>F56*E61</f>
        <v>3.8016000000000005</v>
      </c>
      <c r="G61" s="216"/>
      <c r="H61" s="217"/>
      <c r="I61" s="223">
        <v>0</v>
      </c>
      <c r="J61" s="214">
        <f t="shared" si="6"/>
        <v>0</v>
      </c>
      <c r="K61" s="216"/>
      <c r="L61" s="217"/>
      <c r="M61" s="215">
        <f t="shared" si="1"/>
        <v>0</v>
      </c>
    </row>
    <row r="62" spans="1:14" s="212" customFormat="1" ht="13.5" x14ac:dyDescent="0.25">
      <c r="A62" s="225"/>
      <c r="B62" s="225"/>
      <c r="C62" s="225" t="s">
        <v>58</v>
      </c>
      <c r="D62" s="225" t="s">
        <v>54</v>
      </c>
      <c r="E62" s="226">
        <v>0.1</v>
      </c>
      <c r="F62" s="227">
        <f>F56*E62</f>
        <v>2.3760000000000003</v>
      </c>
      <c r="G62" s="228"/>
      <c r="H62" s="229"/>
      <c r="I62" s="223">
        <v>0</v>
      </c>
      <c r="J62" s="227">
        <f t="shared" si="6"/>
        <v>0</v>
      </c>
      <c r="K62" s="228"/>
      <c r="L62" s="229"/>
      <c r="M62" s="226">
        <f t="shared" si="1"/>
        <v>0</v>
      </c>
    </row>
    <row r="63" spans="1:14" s="190" customFormat="1" ht="32.25" customHeight="1" x14ac:dyDescent="0.25">
      <c r="A63" s="187">
        <v>10</v>
      </c>
      <c r="B63" s="188" t="s">
        <v>97</v>
      </c>
      <c r="C63" s="189" t="s">
        <v>181</v>
      </c>
      <c r="D63" s="190" t="s">
        <v>38</v>
      </c>
      <c r="E63" s="191"/>
      <c r="F63" s="192">
        <v>39.43</v>
      </c>
      <c r="G63" s="193"/>
      <c r="H63" s="194"/>
      <c r="I63" s="193"/>
      <c r="J63" s="194"/>
      <c r="K63" s="193"/>
      <c r="L63" s="194"/>
      <c r="M63" s="215"/>
    </row>
    <row r="64" spans="1:14" s="203" customFormat="1" ht="18" customHeight="1" x14ac:dyDescent="0.25">
      <c r="A64" s="236"/>
      <c r="B64" s="236"/>
      <c r="C64" s="236" t="s">
        <v>44</v>
      </c>
      <c r="D64" s="203" t="s">
        <v>40</v>
      </c>
      <c r="E64" s="213">
        <f>(0.77)/0.438</f>
        <v>1.7579908675799087</v>
      </c>
      <c r="F64" s="241">
        <f>F63*E64</f>
        <v>69.317579908675796</v>
      </c>
      <c r="G64" s="240">
        <v>0</v>
      </c>
      <c r="H64" s="241">
        <f>F64*G64</f>
        <v>0</v>
      </c>
      <c r="I64" s="242"/>
      <c r="J64" s="243"/>
      <c r="K64" s="242"/>
      <c r="L64" s="243"/>
      <c r="M64" s="215">
        <f t="shared" si="1"/>
        <v>0</v>
      </c>
    </row>
    <row r="65" spans="1:13" s="203" customFormat="1" ht="18" customHeight="1" x14ac:dyDescent="0.25">
      <c r="A65" s="236"/>
      <c r="B65" s="219" t="s">
        <v>45</v>
      </c>
      <c r="C65" s="236" t="s">
        <v>99</v>
      </c>
      <c r="D65" s="203" t="s">
        <v>47</v>
      </c>
      <c r="E65" s="253" t="s">
        <v>48</v>
      </c>
      <c r="F65" s="239">
        <v>3.7</v>
      </c>
      <c r="G65" s="246"/>
      <c r="H65" s="243"/>
      <c r="I65" s="223">
        <v>0</v>
      </c>
      <c r="J65" s="241">
        <f>F65*I65</f>
        <v>0</v>
      </c>
      <c r="K65" s="242"/>
      <c r="L65" s="243"/>
      <c r="M65" s="215">
        <f t="shared" si="1"/>
        <v>0</v>
      </c>
    </row>
    <row r="66" spans="1:13" s="203" customFormat="1" ht="18" customHeight="1" x14ac:dyDescent="0.25">
      <c r="A66" s="195"/>
      <c r="B66" s="196" t="s">
        <v>52</v>
      </c>
      <c r="C66" s="195" t="s">
        <v>53</v>
      </c>
      <c r="D66" s="196" t="s">
        <v>54</v>
      </c>
      <c r="E66" s="277">
        <v>0.06</v>
      </c>
      <c r="F66" s="250">
        <f>F63*E66</f>
        <v>2.3657999999999997</v>
      </c>
      <c r="G66" s="251"/>
      <c r="H66" s="201"/>
      <c r="I66" s="223">
        <v>0</v>
      </c>
      <c r="J66" s="198">
        <f>F66*I66</f>
        <v>0</v>
      </c>
      <c r="K66" s="200"/>
      <c r="L66" s="201"/>
      <c r="M66" s="226">
        <f t="shared" si="1"/>
        <v>0</v>
      </c>
    </row>
    <row r="67" spans="1:13" s="269" customFormat="1" ht="13.5" x14ac:dyDescent="0.25">
      <c r="A67" s="268">
        <v>11</v>
      </c>
      <c r="B67" s="268" t="s">
        <v>100</v>
      </c>
      <c r="C67" s="268" t="s">
        <v>182</v>
      </c>
      <c r="D67" s="269" t="s">
        <v>38</v>
      </c>
      <c r="E67" s="270"/>
      <c r="F67" s="271">
        <v>2.91</v>
      </c>
      <c r="G67" s="272"/>
      <c r="I67" s="273"/>
      <c r="J67" s="274"/>
      <c r="K67" s="273"/>
      <c r="L67" s="274"/>
      <c r="M67" s="215"/>
    </row>
    <row r="68" spans="1:13" s="212" customFormat="1" ht="13.5" x14ac:dyDescent="0.25">
      <c r="A68" s="211"/>
      <c r="C68" s="211" t="s">
        <v>44</v>
      </c>
      <c r="D68" s="211" t="s">
        <v>40</v>
      </c>
      <c r="E68" s="258">
        <v>0.91400000000000003</v>
      </c>
      <c r="F68" s="221">
        <f>F67*E68</f>
        <v>2.6597400000000002</v>
      </c>
      <c r="G68" s="240">
        <v>0</v>
      </c>
      <c r="H68" s="214">
        <f>F68*G68</f>
        <v>0</v>
      </c>
      <c r="I68" s="259"/>
      <c r="J68" s="275"/>
      <c r="K68" s="259"/>
      <c r="L68" s="275"/>
      <c r="M68" s="215">
        <f t="shared" si="1"/>
        <v>0</v>
      </c>
    </row>
    <row r="69" spans="1:13" s="212" customFormat="1" ht="13.5" x14ac:dyDescent="0.25">
      <c r="A69" s="211"/>
      <c r="C69" s="211" t="s">
        <v>63</v>
      </c>
      <c r="D69" s="212" t="s">
        <v>9</v>
      </c>
      <c r="E69" s="258">
        <v>0.35299999999999998</v>
      </c>
      <c r="F69" s="221">
        <f>F67*E69</f>
        <v>1.0272300000000001</v>
      </c>
      <c r="G69" s="259"/>
      <c r="H69" s="275"/>
      <c r="I69" s="259"/>
      <c r="J69" s="275"/>
      <c r="K69" s="215">
        <v>0</v>
      </c>
      <c r="L69" s="212">
        <f>F69*K69</f>
        <v>0</v>
      </c>
      <c r="M69" s="215">
        <f t="shared" si="1"/>
        <v>0</v>
      </c>
    </row>
    <row r="70" spans="1:13" s="212" customFormat="1" ht="13.5" x14ac:dyDescent="0.25">
      <c r="A70" s="211"/>
      <c r="B70" s="212" t="s">
        <v>102</v>
      </c>
      <c r="C70" s="211" t="s">
        <v>103</v>
      </c>
      <c r="D70" s="212" t="s">
        <v>38</v>
      </c>
      <c r="E70" s="258">
        <v>1</v>
      </c>
      <c r="F70" s="221">
        <f>F67*E70</f>
        <v>2.91</v>
      </c>
      <c r="G70" s="259"/>
      <c r="H70" s="275"/>
      <c r="I70" s="223">
        <v>0</v>
      </c>
      <c r="J70" s="214">
        <f>F70*I70</f>
        <v>0</v>
      </c>
      <c r="K70" s="259"/>
      <c r="L70" s="275"/>
      <c r="M70" s="215">
        <f t="shared" si="1"/>
        <v>0</v>
      </c>
    </row>
    <row r="71" spans="1:13" s="212" customFormat="1" ht="13.5" x14ac:dyDescent="0.25">
      <c r="A71" s="211"/>
      <c r="C71" s="211" t="s">
        <v>104</v>
      </c>
      <c r="D71" s="212" t="s">
        <v>105</v>
      </c>
      <c r="E71" s="278" t="s">
        <v>48</v>
      </c>
      <c r="F71" s="214">
        <v>2</v>
      </c>
      <c r="G71" s="259"/>
      <c r="H71" s="275"/>
      <c r="I71" s="223">
        <v>0</v>
      </c>
      <c r="J71" s="214">
        <f>F71*I71</f>
        <v>0</v>
      </c>
      <c r="K71" s="259"/>
      <c r="L71" s="275"/>
      <c r="M71" s="215">
        <f t="shared" si="1"/>
        <v>0</v>
      </c>
    </row>
    <row r="72" spans="1:13" s="212" customFormat="1" ht="13.5" x14ac:dyDescent="0.25">
      <c r="A72" s="254"/>
      <c r="B72" s="261"/>
      <c r="C72" s="254" t="s">
        <v>106</v>
      </c>
      <c r="D72" s="261" t="s">
        <v>9</v>
      </c>
      <c r="E72" s="262">
        <v>0.27600000000000002</v>
      </c>
      <c r="F72" s="263">
        <f>F67*E72</f>
        <v>0.8031600000000001</v>
      </c>
      <c r="G72" s="264"/>
      <c r="H72" s="279"/>
      <c r="I72" s="223">
        <v>0</v>
      </c>
      <c r="J72" s="227">
        <f>F72*I72</f>
        <v>0</v>
      </c>
      <c r="K72" s="264"/>
      <c r="L72" s="279"/>
      <c r="M72" s="226">
        <f t="shared" si="1"/>
        <v>0</v>
      </c>
    </row>
    <row r="73" spans="1:13" s="210" customFormat="1" ht="30" customHeight="1" x14ac:dyDescent="0.25">
      <c r="A73" s="189">
        <v>12</v>
      </c>
      <c r="B73" s="280" t="s">
        <v>107</v>
      </c>
      <c r="C73" s="204" t="s">
        <v>183</v>
      </c>
      <c r="D73" s="204" t="s">
        <v>43</v>
      </c>
      <c r="E73" s="204"/>
      <c r="F73" s="205">
        <v>13.5</v>
      </c>
      <c r="G73" s="206"/>
      <c r="H73" s="207"/>
      <c r="I73" s="206"/>
      <c r="J73" s="207"/>
      <c r="K73" s="208"/>
      <c r="L73" s="209"/>
      <c r="M73" s="215"/>
    </row>
    <row r="74" spans="1:13" s="212" customFormat="1" ht="13.5" x14ac:dyDescent="0.25">
      <c r="A74" s="211"/>
      <c r="C74" s="211" t="s">
        <v>44</v>
      </c>
      <c r="D74" s="211" t="s">
        <v>40</v>
      </c>
      <c r="E74" s="258">
        <f>(0.82+0.025*3.5)/0.6005</f>
        <v>1.5112406328059949</v>
      </c>
      <c r="F74" s="214">
        <f>F73*E74</f>
        <v>20.401748542880931</v>
      </c>
      <c r="G74" s="240">
        <v>0</v>
      </c>
      <c r="H74" s="214">
        <f>F74*G74</f>
        <v>0</v>
      </c>
      <c r="I74" s="216"/>
      <c r="J74" s="217"/>
      <c r="K74" s="216"/>
      <c r="L74" s="217"/>
      <c r="M74" s="215">
        <f t="shared" ref="M74:M160" si="7">H74+J74+L74</f>
        <v>0</v>
      </c>
    </row>
    <row r="75" spans="1:13" s="212" customFormat="1" ht="13.5" x14ac:dyDescent="0.25">
      <c r="A75" s="218"/>
      <c r="B75" s="219" t="s">
        <v>45</v>
      </c>
      <c r="C75" s="218" t="s">
        <v>109</v>
      </c>
      <c r="D75" s="218" t="s">
        <v>47</v>
      </c>
      <c r="E75" s="220" t="s">
        <v>48</v>
      </c>
      <c r="F75" s="214">
        <f>3.14*0.125*0.125*13.5</f>
        <v>0.66234375000000001</v>
      </c>
      <c r="G75" s="216"/>
      <c r="H75" s="217"/>
      <c r="I75" s="223">
        <v>0</v>
      </c>
      <c r="J75" s="214">
        <f t="shared" ref="J75:J78" si="8">F75*I75</f>
        <v>0</v>
      </c>
      <c r="K75" s="216"/>
      <c r="L75" s="217"/>
      <c r="M75" s="215">
        <f t="shared" si="7"/>
        <v>0</v>
      </c>
    </row>
    <row r="76" spans="1:13" s="212" customFormat="1" ht="13.5" x14ac:dyDescent="0.25">
      <c r="A76" s="218"/>
      <c r="B76" s="218" t="s">
        <v>52</v>
      </c>
      <c r="C76" s="218" t="s">
        <v>53</v>
      </c>
      <c r="D76" s="218" t="s">
        <v>54</v>
      </c>
      <c r="E76" s="211">
        <v>6.3E-2</v>
      </c>
      <c r="F76" s="214">
        <f>F73*E76</f>
        <v>0.85050000000000003</v>
      </c>
      <c r="G76" s="215"/>
      <c r="H76" s="214"/>
      <c r="I76" s="223">
        <v>0</v>
      </c>
      <c r="J76" s="214">
        <f t="shared" si="8"/>
        <v>0</v>
      </c>
      <c r="K76" s="216"/>
      <c r="L76" s="217"/>
      <c r="M76" s="215">
        <f t="shared" si="7"/>
        <v>0</v>
      </c>
    </row>
    <row r="77" spans="1:13" s="212" customFormat="1" ht="13.5" x14ac:dyDescent="0.25">
      <c r="A77" s="218"/>
      <c r="B77" s="218" t="s">
        <v>56</v>
      </c>
      <c r="C77" s="218" t="s">
        <v>57</v>
      </c>
      <c r="D77" s="218" t="s">
        <v>38</v>
      </c>
      <c r="E77" s="211">
        <v>0.14000000000000001</v>
      </c>
      <c r="F77" s="214">
        <f>F73*E77</f>
        <v>1.8900000000000001</v>
      </c>
      <c r="G77" s="216"/>
      <c r="H77" s="217"/>
      <c r="I77" s="223">
        <v>0</v>
      </c>
      <c r="J77" s="214">
        <f t="shared" si="8"/>
        <v>0</v>
      </c>
      <c r="K77" s="216"/>
      <c r="L77" s="217"/>
      <c r="M77" s="215">
        <f t="shared" si="7"/>
        <v>0</v>
      </c>
    </row>
    <row r="78" spans="1:13" s="212" customFormat="1" ht="13.5" x14ac:dyDescent="0.25">
      <c r="A78" s="225"/>
      <c r="B78" s="225"/>
      <c r="C78" s="225" t="s">
        <v>58</v>
      </c>
      <c r="D78" s="225" t="s">
        <v>54</v>
      </c>
      <c r="E78" s="254">
        <v>0.1</v>
      </c>
      <c r="F78" s="227">
        <f>F73*E78</f>
        <v>1.35</v>
      </c>
      <c r="G78" s="228"/>
      <c r="H78" s="229"/>
      <c r="I78" s="223">
        <v>0</v>
      </c>
      <c r="J78" s="227">
        <f t="shared" si="8"/>
        <v>0</v>
      </c>
      <c r="K78" s="228"/>
      <c r="L78" s="229"/>
      <c r="M78" s="226">
        <f t="shared" si="7"/>
        <v>0</v>
      </c>
    </row>
    <row r="79" spans="1:13" s="190" customFormat="1" ht="18.75" customHeight="1" x14ac:dyDescent="0.25">
      <c r="A79" s="281">
        <v>13</v>
      </c>
      <c r="B79" s="281" t="s">
        <v>110</v>
      </c>
      <c r="C79" s="282" t="s">
        <v>111</v>
      </c>
      <c r="D79" s="282" t="s">
        <v>47</v>
      </c>
      <c r="E79" s="282"/>
      <c r="F79" s="283">
        <v>0.5</v>
      </c>
      <c r="G79" s="284"/>
      <c r="H79" s="285"/>
      <c r="I79" s="284"/>
      <c r="J79" s="285"/>
      <c r="K79" s="286"/>
      <c r="L79" s="192"/>
      <c r="M79" s="215"/>
    </row>
    <row r="80" spans="1:13" s="212" customFormat="1" ht="13.5" x14ac:dyDescent="0.25">
      <c r="A80" s="211"/>
      <c r="C80" s="211" t="s">
        <v>44</v>
      </c>
      <c r="D80" s="211" t="s">
        <v>40</v>
      </c>
      <c r="E80" s="258">
        <v>23.8</v>
      </c>
      <c r="F80" s="214">
        <f>F79*E80</f>
        <v>11.9</v>
      </c>
      <c r="G80" s="240">
        <v>0</v>
      </c>
      <c r="H80" s="214">
        <f>F80*G80</f>
        <v>0</v>
      </c>
      <c r="I80" s="216"/>
      <c r="J80" s="217"/>
      <c r="K80" s="216"/>
      <c r="L80" s="217"/>
      <c r="M80" s="215">
        <f t="shared" si="7"/>
        <v>0</v>
      </c>
    </row>
    <row r="81" spans="1:13" s="212" customFormat="1" ht="13.5" x14ac:dyDescent="0.25">
      <c r="A81" s="211"/>
      <c r="C81" s="211" t="s">
        <v>63</v>
      </c>
      <c r="D81" s="212" t="s">
        <v>9</v>
      </c>
      <c r="E81" s="258">
        <v>2.1</v>
      </c>
      <c r="F81" s="214">
        <f>F79*E81</f>
        <v>1.05</v>
      </c>
      <c r="G81" s="216"/>
      <c r="H81" s="217"/>
      <c r="I81" s="216"/>
      <c r="J81" s="217"/>
      <c r="K81" s="215">
        <v>0</v>
      </c>
      <c r="L81" s="214">
        <f>F81*K81</f>
        <v>0</v>
      </c>
      <c r="M81" s="215">
        <f t="shared" si="7"/>
        <v>0</v>
      </c>
    </row>
    <row r="82" spans="1:13" s="292" customFormat="1" ht="27" x14ac:dyDescent="0.25">
      <c r="A82" s="287"/>
      <c r="B82" s="287"/>
      <c r="C82" s="287" t="s">
        <v>112</v>
      </c>
      <c r="D82" s="287" t="s">
        <v>47</v>
      </c>
      <c r="E82" s="288">
        <v>1.05</v>
      </c>
      <c r="F82" s="289">
        <f>F79*E82</f>
        <v>0.52500000000000002</v>
      </c>
      <c r="G82" s="290"/>
      <c r="H82" s="291"/>
      <c r="I82" s="223">
        <v>0</v>
      </c>
      <c r="J82" s="289">
        <f t="shared" ref="J82:J85" si="9">F82*I82</f>
        <v>0</v>
      </c>
      <c r="K82" s="290"/>
      <c r="L82" s="291"/>
      <c r="M82" s="288">
        <f t="shared" si="7"/>
        <v>0</v>
      </c>
    </row>
    <row r="83" spans="1:13" s="212" customFormat="1" ht="13.5" x14ac:dyDescent="0.25">
      <c r="A83" s="218"/>
      <c r="B83" s="218" t="s">
        <v>52</v>
      </c>
      <c r="C83" s="218" t="s">
        <v>53</v>
      </c>
      <c r="D83" s="218" t="s">
        <v>54</v>
      </c>
      <c r="E83" s="211">
        <v>7.2</v>
      </c>
      <c r="F83" s="214">
        <f>F79*E83</f>
        <v>3.6</v>
      </c>
      <c r="G83" s="215"/>
      <c r="H83" s="214"/>
      <c r="I83" s="223">
        <v>0</v>
      </c>
      <c r="J83" s="214">
        <f t="shared" si="9"/>
        <v>0</v>
      </c>
      <c r="K83" s="216"/>
      <c r="L83" s="217"/>
      <c r="M83" s="215">
        <f t="shared" si="7"/>
        <v>0</v>
      </c>
    </row>
    <row r="84" spans="1:13" s="212" customFormat="1" ht="13.5" x14ac:dyDescent="0.25">
      <c r="A84" s="218"/>
      <c r="B84" s="218" t="s">
        <v>113</v>
      </c>
      <c r="C84" s="218" t="s">
        <v>114</v>
      </c>
      <c r="D84" s="218" t="s">
        <v>54</v>
      </c>
      <c r="E84" s="211">
        <v>4.38</v>
      </c>
      <c r="F84" s="214">
        <f>F79*E84</f>
        <v>2.19</v>
      </c>
      <c r="G84" s="216"/>
      <c r="H84" s="217"/>
      <c r="I84" s="223">
        <v>0</v>
      </c>
      <c r="J84" s="214">
        <f t="shared" si="9"/>
        <v>0</v>
      </c>
      <c r="K84" s="216"/>
      <c r="L84" s="217"/>
      <c r="M84" s="215">
        <f t="shared" si="7"/>
        <v>0</v>
      </c>
    </row>
    <row r="85" spans="1:13" s="212" customFormat="1" ht="13.5" x14ac:dyDescent="0.25">
      <c r="A85" s="254"/>
      <c r="B85" s="261"/>
      <c r="C85" s="254" t="s">
        <v>106</v>
      </c>
      <c r="D85" s="261" t="s">
        <v>9</v>
      </c>
      <c r="E85" s="262">
        <v>3.44</v>
      </c>
      <c r="F85" s="227">
        <f>F79*E85</f>
        <v>1.72</v>
      </c>
      <c r="G85" s="228"/>
      <c r="H85" s="229"/>
      <c r="I85" s="223">
        <v>0</v>
      </c>
      <c r="J85" s="227">
        <f t="shared" si="9"/>
        <v>0</v>
      </c>
      <c r="K85" s="228"/>
      <c r="L85" s="229"/>
      <c r="M85" s="226">
        <f t="shared" si="7"/>
        <v>0</v>
      </c>
    </row>
    <row r="86" spans="1:13" s="210" customFormat="1" ht="33" customHeight="1" x14ac:dyDescent="0.25">
      <c r="A86" s="189">
        <v>14</v>
      </c>
      <c r="B86" s="189" t="s">
        <v>115</v>
      </c>
      <c r="C86" s="204" t="s">
        <v>116</v>
      </c>
      <c r="D86" s="204" t="s">
        <v>47</v>
      </c>
      <c r="E86" s="204"/>
      <c r="F86" s="205">
        <v>0.14000000000000001</v>
      </c>
      <c r="G86" s="206"/>
      <c r="H86" s="207"/>
      <c r="I86" s="206"/>
      <c r="J86" s="207"/>
      <c r="K86" s="208"/>
      <c r="L86" s="209"/>
      <c r="M86" s="215"/>
    </row>
    <row r="87" spans="1:13" s="212" customFormat="1" ht="13.5" x14ac:dyDescent="0.25">
      <c r="A87" s="211"/>
      <c r="C87" s="211" t="s">
        <v>44</v>
      </c>
      <c r="D87" s="211" t="s">
        <v>40</v>
      </c>
      <c r="E87" s="258">
        <v>23.8</v>
      </c>
      <c r="F87" s="214">
        <f>F86*E87</f>
        <v>3.3320000000000003</v>
      </c>
      <c r="G87" s="240">
        <v>0</v>
      </c>
      <c r="H87" s="214">
        <f>F87*G87</f>
        <v>0</v>
      </c>
      <c r="I87" s="216"/>
      <c r="J87" s="217"/>
      <c r="K87" s="216"/>
      <c r="L87" s="217"/>
      <c r="M87" s="215">
        <f t="shared" si="7"/>
        <v>0</v>
      </c>
    </row>
    <row r="88" spans="1:13" s="212" customFormat="1" ht="13.5" x14ac:dyDescent="0.25">
      <c r="A88" s="211"/>
      <c r="C88" s="211" t="s">
        <v>63</v>
      </c>
      <c r="D88" s="212" t="s">
        <v>9</v>
      </c>
      <c r="E88" s="258">
        <v>2.1</v>
      </c>
      <c r="F88" s="214">
        <f>F86*E88</f>
        <v>0.29400000000000004</v>
      </c>
      <c r="G88" s="216"/>
      <c r="H88" s="217"/>
      <c r="I88" s="216"/>
      <c r="J88" s="217"/>
      <c r="K88" s="215">
        <v>0</v>
      </c>
      <c r="L88" s="214">
        <f>F88*K88</f>
        <v>0</v>
      </c>
      <c r="M88" s="215">
        <f t="shared" si="7"/>
        <v>0</v>
      </c>
    </row>
    <row r="89" spans="1:13" s="212" customFormat="1" ht="13.5" x14ac:dyDescent="0.25">
      <c r="A89" s="218"/>
      <c r="B89" s="218" t="s">
        <v>117</v>
      </c>
      <c r="C89" s="218" t="s">
        <v>118</v>
      </c>
      <c r="D89" s="218" t="s">
        <v>47</v>
      </c>
      <c r="E89" s="215">
        <v>1.05</v>
      </c>
      <c r="F89" s="214">
        <f>F86*E89</f>
        <v>0.14700000000000002</v>
      </c>
      <c r="G89" s="216"/>
      <c r="H89" s="217"/>
      <c r="I89" s="223">
        <v>0</v>
      </c>
      <c r="J89" s="214">
        <f t="shared" ref="J89:J93" si="10">F89*I89</f>
        <v>0</v>
      </c>
      <c r="K89" s="216"/>
      <c r="L89" s="217"/>
      <c r="M89" s="215">
        <f t="shared" si="7"/>
        <v>0</v>
      </c>
    </row>
    <row r="90" spans="1:13" s="212" customFormat="1" ht="13.5" x14ac:dyDescent="0.25">
      <c r="A90" s="218"/>
      <c r="B90" s="218" t="s">
        <v>52</v>
      </c>
      <c r="C90" s="218" t="s">
        <v>53</v>
      </c>
      <c r="D90" s="218" t="s">
        <v>54</v>
      </c>
      <c r="E90" s="211">
        <v>7.2</v>
      </c>
      <c r="F90" s="214">
        <f>F86*E90</f>
        <v>1.0080000000000002</v>
      </c>
      <c r="G90" s="215"/>
      <c r="H90" s="214"/>
      <c r="I90" s="223">
        <v>0</v>
      </c>
      <c r="J90" s="214">
        <f t="shared" si="10"/>
        <v>0</v>
      </c>
      <c r="K90" s="216"/>
      <c r="L90" s="217"/>
      <c r="M90" s="215">
        <f t="shared" si="7"/>
        <v>0</v>
      </c>
    </row>
    <row r="91" spans="1:13" s="212" customFormat="1" ht="13.5" x14ac:dyDescent="0.25">
      <c r="A91" s="218"/>
      <c r="B91" s="218" t="s">
        <v>119</v>
      </c>
      <c r="C91" s="218" t="s">
        <v>114</v>
      </c>
      <c r="D91" s="218" t="s">
        <v>54</v>
      </c>
      <c r="E91" s="211">
        <v>4.38</v>
      </c>
      <c r="F91" s="214">
        <f>F86*E91</f>
        <v>0.61320000000000008</v>
      </c>
      <c r="G91" s="216"/>
      <c r="H91" s="217"/>
      <c r="I91" s="223">
        <v>0</v>
      </c>
      <c r="J91" s="214">
        <f t="shared" si="10"/>
        <v>0</v>
      </c>
      <c r="K91" s="216"/>
      <c r="L91" s="217"/>
      <c r="M91" s="215">
        <f t="shared" si="7"/>
        <v>0</v>
      </c>
    </row>
    <row r="92" spans="1:13" s="212" customFormat="1" ht="13.5" x14ac:dyDescent="0.25">
      <c r="A92" s="218"/>
      <c r="B92" s="218" t="s">
        <v>56</v>
      </c>
      <c r="C92" s="218" t="s">
        <v>57</v>
      </c>
      <c r="D92" s="218" t="s">
        <v>38</v>
      </c>
      <c r="E92" s="211">
        <v>3.38</v>
      </c>
      <c r="F92" s="214">
        <f>F86*E92</f>
        <v>0.47320000000000001</v>
      </c>
      <c r="G92" s="216"/>
      <c r="H92" s="217"/>
      <c r="I92" s="223">
        <v>0</v>
      </c>
      <c r="J92" s="214">
        <f t="shared" si="10"/>
        <v>0</v>
      </c>
      <c r="K92" s="216"/>
      <c r="L92" s="217"/>
      <c r="M92" s="215">
        <f t="shared" si="7"/>
        <v>0</v>
      </c>
    </row>
    <row r="93" spans="1:13" s="212" customFormat="1" ht="13.5" x14ac:dyDescent="0.25">
      <c r="A93" s="254"/>
      <c r="B93" s="261"/>
      <c r="C93" s="254" t="s">
        <v>106</v>
      </c>
      <c r="D93" s="261" t="s">
        <v>9</v>
      </c>
      <c r="E93" s="262">
        <v>3.44</v>
      </c>
      <c r="F93" s="227">
        <f>F86*E93</f>
        <v>0.48160000000000003</v>
      </c>
      <c r="G93" s="228"/>
      <c r="H93" s="229"/>
      <c r="I93" s="223">
        <v>0</v>
      </c>
      <c r="J93" s="227">
        <f t="shared" si="10"/>
        <v>0</v>
      </c>
      <c r="K93" s="228"/>
      <c r="L93" s="229"/>
      <c r="M93" s="226">
        <f t="shared" si="7"/>
        <v>0</v>
      </c>
    </row>
    <row r="94" spans="1:13" s="210" customFormat="1" ht="13.5" x14ac:dyDescent="0.25">
      <c r="A94" s="230">
        <v>15</v>
      </c>
      <c r="B94" s="189" t="s">
        <v>120</v>
      </c>
      <c r="C94" s="189" t="s">
        <v>121</v>
      </c>
      <c r="D94" s="210" t="s">
        <v>38</v>
      </c>
      <c r="E94" s="233"/>
      <c r="F94" s="209">
        <v>150</v>
      </c>
      <c r="G94" s="234"/>
      <c r="H94" s="235"/>
      <c r="I94" s="234"/>
      <c r="J94" s="235"/>
      <c r="K94" s="208"/>
      <c r="M94" s="215"/>
    </row>
    <row r="95" spans="1:13" s="212" customFormat="1" ht="13.5" x14ac:dyDescent="0.25">
      <c r="A95" s="211"/>
      <c r="C95" s="211" t="s">
        <v>44</v>
      </c>
      <c r="D95" s="211" t="s">
        <v>40</v>
      </c>
      <c r="E95" s="265">
        <v>6.9199999999999998E-2</v>
      </c>
      <c r="F95" s="221">
        <f>F94*E95</f>
        <v>10.379999999999999</v>
      </c>
      <c r="G95" s="240">
        <v>0</v>
      </c>
      <c r="H95" s="214">
        <f>F95*G95</f>
        <v>0</v>
      </c>
      <c r="I95" s="216"/>
      <c r="J95" s="217"/>
      <c r="K95" s="216"/>
      <c r="L95" s="217"/>
      <c r="M95" s="215">
        <f t="shared" si="7"/>
        <v>0</v>
      </c>
    </row>
    <row r="96" spans="1:13" s="212" customFormat="1" ht="13.5" x14ac:dyDescent="0.25">
      <c r="A96" s="211"/>
      <c r="C96" s="211" t="s">
        <v>63</v>
      </c>
      <c r="D96" s="212" t="s">
        <v>9</v>
      </c>
      <c r="E96" s="265">
        <v>1.6000000000000001E-3</v>
      </c>
      <c r="F96" s="221">
        <f>F94*E96</f>
        <v>0.24000000000000002</v>
      </c>
      <c r="G96" s="211"/>
      <c r="H96" s="214"/>
      <c r="I96" s="215"/>
      <c r="J96" s="214"/>
      <c r="K96" s="215">
        <v>0</v>
      </c>
      <c r="L96" s="214">
        <f>F96*K96</f>
        <v>0</v>
      </c>
      <c r="M96" s="215">
        <f t="shared" si="7"/>
        <v>0</v>
      </c>
    </row>
    <row r="97" spans="1:18" s="212" customFormat="1" ht="15" x14ac:dyDescent="0.25">
      <c r="A97" s="225"/>
      <c r="B97" s="225"/>
      <c r="C97" s="225" t="s">
        <v>122</v>
      </c>
      <c r="D97" s="225" t="s">
        <v>123</v>
      </c>
      <c r="E97" s="226">
        <v>0.34</v>
      </c>
      <c r="F97" s="227">
        <f>F94*E97</f>
        <v>51.000000000000007</v>
      </c>
      <c r="G97" s="228"/>
      <c r="H97" s="229"/>
      <c r="I97" s="223">
        <v>0</v>
      </c>
      <c r="J97" s="227">
        <f t="shared" ref="J97" si="11">F97*I97</f>
        <v>0</v>
      </c>
      <c r="K97" s="228"/>
      <c r="L97" s="229"/>
      <c r="M97" s="226">
        <f t="shared" si="7"/>
        <v>0</v>
      </c>
      <c r="N97" s="293"/>
    </row>
    <row r="98" spans="1:18" s="294" customFormat="1" ht="36.75" customHeight="1" x14ac:dyDescent="0.25">
      <c r="A98" s="189">
        <v>16</v>
      </c>
      <c r="B98" s="210" t="s">
        <v>124</v>
      </c>
      <c r="C98" s="189" t="s">
        <v>125</v>
      </c>
      <c r="D98" s="210" t="s">
        <v>43</v>
      </c>
      <c r="E98" s="233"/>
      <c r="F98" s="209">
        <v>8</v>
      </c>
      <c r="G98" s="234"/>
      <c r="H98" s="235"/>
      <c r="I98" s="208"/>
      <c r="J98" s="210"/>
      <c r="K98" s="234"/>
      <c r="L98" s="235"/>
      <c r="M98" s="215"/>
    </row>
    <row r="99" spans="1:18" s="266" customFormat="1" ht="13.5" x14ac:dyDescent="0.25">
      <c r="A99" s="211"/>
      <c r="C99" s="211" t="s">
        <v>44</v>
      </c>
      <c r="D99" s="292" t="s">
        <v>40</v>
      </c>
      <c r="E99" s="258">
        <f>0.292/0.06005</f>
        <v>4.8626144879267272</v>
      </c>
      <c r="F99" s="221">
        <f>F98*E99</f>
        <v>38.900915903413818</v>
      </c>
      <c r="G99" s="240">
        <v>0</v>
      </c>
      <c r="H99" s="214">
        <f>F99*G99</f>
        <v>0</v>
      </c>
      <c r="I99" s="216"/>
      <c r="J99" s="217"/>
      <c r="K99" s="216"/>
      <c r="L99" s="217"/>
      <c r="M99" s="215">
        <f t="shared" si="7"/>
        <v>0</v>
      </c>
    </row>
    <row r="100" spans="1:18" s="297" customFormat="1" ht="15" x14ac:dyDescent="0.25">
      <c r="A100" s="237"/>
      <c r="B100" s="292"/>
      <c r="C100" s="237" t="s">
        <v>126</v>
      </c>
      <c r="D100" s="292" t="s">
        <v>54</v>
      </c>
      <c r="E100" s="213">
        <v>2.8</v>
      </c>
      <c r="F100" s="295">
        <f>F98*E100</f>
        <v>22.4</v>
      </c>
      <c r="G100" s="296"/>
      <c r="H100" s="291"/>
      <c r="I100" s="223">
        <v>0</v>
      </c>
      <c r="J100" s="289">
        <f>F100*I100</f>
        <v>0</v>
      </c>
      <c r="K100" s="290"/>
      <c r="L100" s="291"/>
      <c r="M100" s="215">
        <f t="shared" si="7"/>
        <v>0</v>
      </c>
      <c r="N100" s="361"/>
      <c r="O100" s="360"/>
      <c r="P100" s="360"/>
      <c r="Q100" s="360"/>
      <c r="R100" s="360"/>
    </row>
    <row r="101" spans="1:18" s="297" customFormat="1" ht="13.5" x14ac:dyDescent="0.25">
      <c r="A101" s="237"/>
      <c r="B101" s="212" t="s">
        <v>87</v>
      </c>
      <c r="C101" s="237" t="s">
        <v>88</v>
      </c>
      <c r="D101" s="292" t="s">
        <v>47</v>
      </c>
      <c r="E101" s="213">
        <v>0.01</v>
      </c>
      <c r="F101" s="295">
        <f>F98*E101</f>
        <v>0.08</v>
      </c>
      <c r="G101" s="296"/>
      <c r="H101" s="291"/>
      <c r="I101" s="223">
        <v>0</v>
      </c>
      <c r="J101" s="289">
        <f>F101*I101</f>
        <v>0</v>
      </c>
      <c r="K101" s="290"/>
      <c r="L101" s="291"/>
      <c r="M101" s="215">
        <f t="shared" si="7"/>
        <v>0</v>
      </c>
    </row>
    <row r="102" spans="1:18" s="266" customFormat="1" ht="13.5" x14ac:dyDescent="0.25">
      <c r="A102" s="254"/>
      <c r="B102" s="254" t="s">
        <v>85</v>
      </c>
      <c r="C102" s="254" t="s">
        <v>86</v>
      </c>
      <c r="D102" s="261">
        <v>6.0000000000000001E-3</v>
      </c>
      <c r="E102" s="262">
        <v>4.0000000000000001E-3</v>
      </c>
      <c r="F102" s="263">
        <f>F98*E102</f>
        <v>3.2000000000000001E-2</v>
      </c>
      <c r="G102" s="264"/>
      <c r="H102" s="229"/>
      <c r="I102" s="223">
        <v>0</v>
      </c>
      <c r="J102" s="227">
        <f>F102*I102</f>
        <v>0</v>
      </c>
      <c r="K102" s="228"/>
      <c r="L102" s="229"/>
      <c r="M102" s="226">
        <f t="shared" si="7"/>
        <v>0</v>
      </c>
    </row>
    <row r="103" spans="1:18" s="210" customFormat="1" ht="27" x14ac:dyDescent="0.25">
      <c r="A103" s="230">
        <v>17</v>
      </c>
      <c r="B103" s="189" t="s">
        <v>127</v>
      </c>
      <c r="C103" s="189" t="s">
        <v>128</v>
      </c>
      <c r="D103" s="210" t="s">
        <v>38</v>
      </c>
      <c r="E103" s="233"/>
      <c r="F103" s="209">
        <v>150</v>
      </c>
      <c r="G103" s="234"/>
      <c r="H103" s="235"/>
      <c r="I103" s="234"/>
      <c r="J103" s="235"/>
      <c r="K103" s="208"/>
      <c r="M103" s="215"/>
    </row>
    <row r="104" spans="1:18" s="212" customFormat="1" ht="13.5" x14ac:dyDescent="0.25">
      <c r="A104" s="211"/>
      <c r="B104" s="212" t="s">
        <v>129</v>
      </c>
      <c r="C104" s="211" t="s">
        <v>44</v>
      </c>
      <c r="D104" s="211" t="s">
        <v>38</v>
      </c>
      <c r="E104" s="258">
        <v>1</v>
      </c>
      <c r="F104" s="221">
        <f>F103*E104</f>
        <v>150</v>
      </c>
      <c r="G104" s="240">
        <v>0</v>
      </c>
      <c r="H104" s="214">
        <f>F104*G104</f>
        <v>0</v>
      </c>
      <c r="I104" s="216"/>
      <c r="J104" s="217"/>
      <c r="K104" s="216"/>
      <c r="L104" s="217"/>
      <c r="M104" s="215">
        <f t="shared" si="7"/>
        <v>0</v>
      </c>
    </row>
    <row r="105" spans="1:18" s="212" customFormat="1" ht="13.5" x14ac:dyDescent="0.25">
      <c r="A105" s="211"/>
      <c r="C105" s="211" t="s">
        <v>63</v>
      </c>
      <c r="D105" s="212" t="s">
        <v>9</v>
      </c>
      <c r="E105" s="265">
        <v>2.0999999999999999E-3</v>
      </c>
      <c r="F105" s="221">
        <f>F103*E105</f>
        <v>0.315</v>
      </c>
      <c r="G105" s="211"/>
      <c r="H105" s="214"/>
      <c r="I105" s="215"/>
      <c r="J105" s="214"/>
      <c r="K105" s="215">
        <v>0</v>
      </c>
      <c r="L105" s="214">
        <f>F105*K105</f>
        <v>0</v>
      </c>
      <c r="M105" s="215">
        <f t="shared" si="7"/>
        <v>0</v>
      </c>
    </row>
    <row r="106" spans="1:18" s="212" customFormat="1" ht="15" x14ac:dyDescent="0.25">
      <c r="A106" s="254"/>
      <c r="B106" s="261"/>
      <c r="C106" s="254" t="s">
        <v>130</v>
      </c>
      <c r="D106" s="261" t="s">
        <v>54</v>
      </c>
      <c r="E106" s="262">
        <v>0.2</v>
      </c>
      <c r="F106" s="263">
        <f>F103*E106</f>
        <v>30</v>
      </c>
      <c r="G106" s="264"/>
      <c r="H106" s="229"/>
      <c r="I106" s="223">
        <v>0</v>
      </c>
      <c r="J106" s="227">
        <f>F106*I106</f>
        <v>0</v>
      </c>
      <c r="K106" s="228"/>
      <c r="L106" s="229"/>
      <c r="M106" s="226">
        <f t="shared" si="7"/>
        <v>0</v>
      </c>
      <c r="N106" s="293"/>
    </row>
    <row r="107" spans="1:18" s="210" customFormat="1" ht="33" customHeight="1" x14ac:dyDescent="0.25">
      <c r="A107" s="189">
        <v>18</v>
      </c>
      <c r="B107" s="188" t="s">
        <v>131</v>
      </c>
      <c r="C107" s="204" t="s">
        <v>184</v>
      </c>
      <c r="D107" s="204" t="s">
        <v>133</v>
      </c>
      <c r="E107" s="204"/>
      <c r="F107" s="205">
        <v>700</v>
      </c>
      <c r="G107" s="206"/>
      <c r="H107" s="207"/>
      <c r="I107" s="206"/>
      <c r="J107" s="207"/>
      <c r="K107" s="208"/>
      <c r="L107" s="209"/>
      <c r="M107" s="215"/>
    </row>
    <row r="108" spans="1:18" s="212" customFormat="1" ht="13.5" x14ac:dyDescent="0.25">
      <c r="A108" s="254"/>
      <c r="B108" s="261"/>
      <c r="C108" s="254" t="s">
        <v>44</v>
      </c>
      <c r="D108" s="254" t="s">
        <v>40</v>
      </c>
      <c r="E108" s="197">
        <f>(0.1+0.03)/0.6005</f>
        <v>0.21648626144879266</v>
      </c>
      <c r="F108" s="227">
        <f>F107*E108</f>
        <v>151.54038301415486</v>
      </c>
      <c r="G108" s="240">
        <v>0</v>
      </c>
      <c r="H108" s="227">
        <f>F108*G108</f>
        <v>0</v>
      </c>
      <c r="I108" s="228"/>
      <c r="J108" s="229"/>
      <c r="K108" s="228"/>
      <c r="L108" s="229"/>
      <c r="M108" s="226">
        <f t="shared" si="7"/>
        <v>0</v>
      </c>
    </row>
    <row r="109" spans="1:18" s="294" customFormat="1" ht="27" x14ac:dyDescent="0.25">
      <c r="A109" s="189">
        <v>19</v>
      </c>
      <c r="B109" s="347" t="s">
        <v>185</v>
      </c>
      <c r="C109" s="189" t="s">
        <v>186</v>
      </c>
      <c r="D109" s="210" t="s">
        <v>82</v>
      </c>
      <c r="E109" s="233"/>
      <c r="F109" s="209">
        <v>20</v>
      </c>
      <c r="G109" s="208"/>
      <c r="H109" s="189"/>
      <c r="I109" s="189"/>
      <c r="J109" s="210"/>
      <c r="K109" s="189"/>
      <c r="L109" s="210"/>
      <c r="M109" s="189"/>
    </row>
    <row r="110" spans="1:18" s="266" customFormat="1" ht="13.5" x14ac:dyDescent="0.25">
      <c r="A110" s="254"/>
      <c r="B110" s="254"/>
      <c r="C110" s="254" t="s">
        <v>44</v>
      </c>
      <c r="D110" s="254" t="s">
        <v>40</v>
      </c>
      <c r="E110" s="262">
        <v>1.1000000000000001</v>
      </c>
      <c r="F110" s="263">
        <f>F109*E110</f>
        <v>22</v>
      </c>
      <c r="G110" s="240">
        <v>0</v>
      </c>
      <c r="H110" s="227">
        <f>F110*G110</f>
        <v>0</v>
      </c>
      <c r="I110" s="264"/>
      <c r="J110" s="279"/>
      <c r="K110" s="264"/>
      <c r="L110" s="279"/>
      <c r="M110" s="226">
        <f>H110</f>
        <v>0</v>
      </c>
    </row>
    <row r="111" spans="1:18" s="210" customFormat="1" ht="27" x14ac:dyDescent="0.25">
      <c r="A111" s="189">
        <v>20</v>
      </c>
      <c r="B111" s="188" t="s">
        <v>134</v>
      </c>
      <c r="C111" s="189" t="s">
        <v>135</v>
      </c>
      <c r="D111" s="210" t="s">
        <v>47</v>
      </c>
      <c r="E111" s="233"/>
      <c r="F111" s="209">
        <v>3.2</v>
      </c>
      <c r="G111" s="208"/>
      <c r="H111" s="189"/>
      <c r="I111" s="189"/>
      <c r="K111" s="189"/>
      <c r="M111" s="215"/>
    </row>
    <row r="112" spans="1:18" s="212" customFormat="1" ht="13.5" x14ac:dyDescent="0.25">
      <c r="A112" s="254"/>
      <c r="B112" s="254"/>
      <c r="C112" s="254" t="s">
        <v>44</v>
      </c>
      <c r="D112" s="254" t="s">
        <v>40</v>
      </c>
      <c r="E112" s="262">
        <f>1.81/0.6005</f>
        <v>3.0141548709408825</v>
      </c>
      <c r="F112" s="263">
        <f>F111*E112</f>
        <v>9.6452955870108248</v>
      </c>
      <c r="G112" s="240">
        <v>0</v>
      </c>
      <c r="H112" s="227">
        <f>F112*G112</f>
        <v>0</v>
      </c>
      <c r="I112" s="228"/>
      <c r="J112" s="229"/>
      <c r="K112" s="228"/>
      <c r="L112" s="229"/>
      <c r="M112" s="226">
        <f t="shared" si="7"/>
        <v>0</v>
      </c>
    </row>
    <row r="113" spans="1:13" s="294" customFormat="1" ht="32.25" customHeight="1" x14ac:dyDescent="0.25">
      <c r="A113" s="189">
        <v>21</v>
      </c>
      <c r="B113" s="299">
        <v>22</v>
      </c>
      <c r="C113" s="189" t="s">
        <v>187</v>
      </c>
      <c r="D113" s="210" t="s">
        <v>47</v>
      </c>
      <c r="E113" s="233"/>
      <c r="F113" s="209">
        <f>40.2*0.08</f>
        <v>3.2160000000000002</v>
      </c>
      <c r="G113" s="234"/>
      <c r="H113" s="235"/>
      <c r="I113" s="300"/>
      <c r="J113" s="210"/>
      <c r="K113" s="234"/>
      <c r="L113" s="235"/>
      <c r="M113" s="215"/>
    </row>
    <row r="114" spans="1:13" s="266" customFormat="1" ht="13.5" x14ac:dyDescent="0.25">
      <c r="A114" s="211"/>
      <c r="B114" s="301"/>
      <c r="C114" s="211" t="s">
        <v>44</v>
      </c>
      <c r="D114" s="211" t="s">
        <v>40</v>
      </c>
      <c r="E114" s="258">
        <v>6.5</v>
      </c>
      <c r="F114" s="221">
        <f>F113*E114</f>
        <v>20.904</v>
      </c>
      <c r="G114" s="240">
        <v>0</v>
      </c>
      <c r="H114" s="214">
        <f>F114*G114</f>
        <v>0</v>
      </c>
      <c r="I114" s="216"/>
      <c r="J114" s="217"/>
      <c r="K114" s="216"/>
      <c r="L114" s="217"/>
      <c r="M114" s="215">
        <f t="shared" si="7"/>
        <v>0</v>
      </c>
    </row>
    <row r="115" spans="1:13" s="266" customFormat="1" ht="13.5" x14ac:dyDescent="0.25">
      <c r="A115" s="211"/>
      <c r="B115" s="212"/>
      <c r="C115" s="211" t="s">
        <v>63</v>
      </c>
      <c r="D115" s="212" t="s">
        <v>137</v>
      </c>
      <c r="E115" s="258">
        <v>2.16</v>
      </c>
      <c r="F115" s="221">
        <f>F113*E115</f>
        <v>6.9465600000000007</v>
      </c>
      <c r="G115" s="259"/>
      <c r="H115" s="217"/>
      <c r="I115" s="216"/>
      <c r="J115" s="217"/>
      <c r="K115" s="215">
        <v>0</v>
      </c>
      <c r="L115" s="214">
        <f>F115*K115</f>
        <v>0</v>
      </c>
      <c r="M115" s="215">
        <f t="shared" si="7"/>
        <v>0</v>
      </c>
    </row>
    <row r="116" spans="1:13" s="266" customFormat="1" ht="13.5" x14ac:dyDescent="0.25">
      <c r="A116" s="211"/>
      <c r="B116" s="212" t="s">
        <v>138</v>
      </c>
      <c r="C116" s="211" t="s">
        <v>139</v>
      </c>
      <c r="D116" s="212" t="s">
        <v>47</v>
      </c>
      <c r="E116" s="258">
        <v>1.1499999999999999</v>
      </c>
      <c r="F116" s="221">
        <f>F113*E116</f>
        <v>3.6983999999999999</v>
      </c>
      <c r="G116" s="259"/>
      <c r="H116" s="217"/>
      <c r="I116" s="223">
        <v>0</v>
      </c>
      <c r="J116" s="214">
        <f>F116*I116</f>
        <v>0</v>
      </c>
      <c r="K116" s="216"/>
      <c r="L116" s="217"/>
      <c r="M116" s="215">
        <f t="shared" si="7"/>
        <v>0</v>
      </c>
    </row>
    <row r="117" spans="1:13" s="266" customFormat="1" ht="13.5" x14ac:dyDescent="0.25">
      <c r="A117" s="254"/>
      <c r="B117" s="261"/>
      <c r="C117" s="254" t="s">
        <v>106</v>
      </c>
      <c r="D117" s="261" t="s">
        <v>9</v>
      </c>
      <c r="E117" s="262">
        <v>0.02</v>
      </c>
      <c r="F117" s="263">
        <f>F113*E117</f>
        <v>6.4320000000000002E-2</v>
      </c>
      <c r="G117" s="264"/>
      <c r="H117" s="229"/>
      <c r="I117" s="223">
        <v>0</v>
      </c>
      <c r="J117" s="227">
        <f>F117*I117</f>
        <v>0</v>
      </c>
      <c r="K117" s="228"/>
      <c r="L117" s="229"/>
      <c r="M117" s="226">
        <f t="shared" si="7"/>
        <v>0</v>
      </c>
    </row>
    <row r="118" spans="1:13" s="302" customFormat="1" ht="27" x14ac:dyDescent="0.25">
      <c r="A118" s="281">
        <v>22</v>
      </c>
      <c r="B118" s="210" t="s">
        <v>140</v>
      </c>
      <c r="C118" s="189" t="s">
        <v>141</v>
      </c>
      <c r="D118" s="210" t="s">
        <v>38</v>
      </c>
      <c r="E118" s="189"/>
      <c r="F118" s="209">
        <v>327</v>
      </c>
      <c r="G118" s="281"/>
      <c r="H118" s="209"/>
      <c r="I118" s="189"/>
      <c r="J118" s="209"/>
      <c r="K118" s="189"/>
      <c r="L118" s="209"/>
      <c r="M118" s="215"/>
    </row>
    <row r="119" spans="1:13" s="303" customFormat="1" ht="13.5" x14ac:dyDescent="0.25">
      <c r="A119" s="236"/>
      <c r="B119" s="292"/>
      <c r="C119" s="237" t="s">
        <v>142</v>
      </c>
      <c r="D119" s="292" t="s">
        <v>40</v>
      </c>
      <c r="E119" s="213">
        <f>(0.46)/0.6005</f>
        <v>0.76602830974188174</v>
      </c>
      <c r="F119" s="289">
        <f>F118*E119</f>
        <v>250.49125728559534</v>
      </c>
      <c r="G119" s="240">
        <v>0</v>
      </c>
      <c r="H119" s="289">
        <f>F119*G119</f>
        <v>0</v>
      </c>
      <c r="I119" s="288"/>
      <c r="J119" s="289"/>
      <c r="K119" s="288"/>
      <c r="L119" s="289"/>
      <c r="M119" s="215">
        <f t="shared" si="7"/>
        <v>0</v>
      </c>
    </row>
    <row r="120" spans="1:13" s="303" customFormat="1" ht="13.5" x14ac:dyDescent="0.25">
      <c r="A120" s="236"/>
      <c r="B120" s="304" t="s">
        <v>117</v>
      </c>
      <c r="C120" s="237" t="s">
        <v>143</v>
      </c>
      <c r="D120" s="292" t="s">
        <v>47</v>
      </c>
      <c r="E120" s="245">
        <f>0.0189+0.001+0.05+0.025</f>
        <v>9.4900000000000012E-2</v>
      </c>
      <c r="F120" s="289">
        <f>F118*E120</f>
        <v>31.032300000000003</v>
      </c>
      <c r="G120" s="240"/>
      <c r="H120" s="289"/>
      <c r="I120" s="223">
        <v>0</v>
      </c>
      <c r="J120" s="289">
        <f>F120*I120</f>
        <v>0</v>
      </c>
      <c r="K120" s="288"/>
      <c r="L120" s="289"/>
      <c r="M120" s="215">
        <f t="shared" si="7"/>
        <v>0</v>
      </c>
    </row>
    <row r="121" spans="1:13" s="303" customFormat="1" ht="13.5" x14ac:dyDescent="0.25">
      <c r="A121" s="236"/>
      <c r="B121" s="304" t="s">
        <v>119</v>
      </c>
      <c r="C121" s="237" t="s">
        <v>144</v>
      </c>
      <c r="D121" s="292" t="s">
        <v>54</v>
      </c>
      <c r="E121" s="237">
        <v>0.18</v>
      </c>
      <c r="F121" s="289">
        <f>F118*E121</f>
        <v>58.86</v>
      </c>
      <c r="G121" s="245"/>
      <c r="H121" s="289"/>
      <c r="I121" s="223">
        <v>0</v>
      </c>
      <c r="J121" s="289">
        <f>F121*I121</f>
        <v>0</v>
      </c>
      <c r="K121" s="288"/>
      <c r="L121" s="289"/>
      <c r="M121" s="215">
        <f t="shared" si="7"/>
        <v>0</v>
      </c>
    </row>
    <row r="122" spans="1:13" s="303" customFormat="1" ht="13.5" x14ac:dyDescent="0.25">
      <c r="A122" s="236"/>
      <c r="B122" s="212" t="s">
        <v>145</v>
      </c>
      <c r="C122" s="237" t="s">
        <v>146</v>
      </c>
      <c r="D122" s="292" t="s">
        <v>54</v>
      </c>
      <c r="E122" s="237">
        <v>0.95</v>
      </c>
      <c r="F122" s="289">
        <f>F118*E122</f>
        <v>310.64999999999998</v>
      </c>
      <c r="G122" s="245"/>
      <c r="H122" s="289"/>
      <c r="I122" s="223">
        <v>0</v>
      </c>
      <c r="J122" s="289">
        <f>F122*I122</f>
        <v>0</v>
      </c>
      <c r="K122" s="288"/>
      <c r="L122" s="289"/>
      <c r="M122" s="215">
        <f t="shared" si="7"/>
        <v>0</v>
      </c>
    </row>
    <row r="123" spans="1:13" s="303" customFormat="1" ht="13.5" x14ac:dyDescent="0.25">
      <c r="A123" s="195"/>
      <c r="B123" s="305" t="s">
        <v>52</v>
      </c>
      <c r="C123" s="248" t="s">
        <v>53</v>
      </c>
      <c r="D123" s="306" t="s">
        <v>54</v>
      </c>
      <c r="E123" s="248">
        <v>0.11</v>
      </c>
      <c r="F123" s="307">
        <f>F118*E123</f>
        <v>35.97</v>
      </c>
      <c r="G123" s="202"/>
      <c r="H123" s="307"/>
      <c r="I123" s="223">
        <v>0</v>
      </c>
      <c r="J123" s="308">
        <f>F123*I123</f>
        <v>0</v>
      </c>
      <c r="K123" s="308"/>
      <c r="L123" s="307"/>
      <c r="M123" s="226">
        <f t="shared" si="7"/>
        <v>0</v>
      </c>
    </row>
    <row r="124" spans="1:13" s="302" customFormat="1" ht="25.5" x14ac:dyDescent="0.25">
      <c r="A124" s="281">
        <v>23</v>
      </c>
      <c r="B124" s="188" t="s">
        <v>147</v>
      </c>
      <c r="C124" s="189" t="s">
        <v>148</v>
      </c>
      <c r="D124" s="210" t="s">
        <v>38</v>
      </c>
      <c r="E124" s="189"/>
      <c r="F124" s="309">
        <v>327</v>
      </c>
      <c r="G124" s="281"/>
      <c r="H124" s="209"/>
      <c r="I124" s="189"/>
      <c r="J124" s="209"/>
      <c r="K124" s="189"/>
      <c r="L124" s="209"/>
      <c r="M124" s="215"/>
    </row>
    <row r="125" spans="1:13" s="303" customFormat="1" ht="13.5" x14ac:dyDescent="0.25">
      <c r="A125" s="195"/>
      <c r="B125" s="306"/>
      <c r="C125" s="248" t="s">
        <v>142</v>
      </c>
      <c r="D125" s="306" t="s">
        <v>40</v>
      </c>
      <c r="E125" s="197">
        <f>0.23/0.6005</f>
        <v>0.38301415487094087</v>
      </c>
      <c r="F125" s="307">
        <f>F124*E125</f>
        <v>125.24562864279767</v>
      </c>
      <c r="G125" s="240">
        <v>0</v>
      </c>
      <c r="H125" s="307">
        <f>F125*G125</f>
        <v>0</v>
      </c>
      <c r="I125" s="308"/>
      <c r="J125" s="307"/>
      <c r="K125" s="308"/>
      <c r="L125" s="307"/>
      <c r="M125" s="226">
        <f t="shared" si="7"/>
        <v>0</v>
      </c>
    </row>
    <row r="126" spans="1:13" s="210" customFormat="1" ht="31.15" customHeight="1" x14ac:dyDescent="0.25">
      <c r="A126" s="189">
        <v>24</v>
      </c>
      <c r="B126" s="189" t="s">
        <v>115</v>
      </c>
      <c r="C126" s="204" t="s">
        <v>188</v>
      </c>
      <c r="D126" s="204" t="s">
        <v>47</v>
      </c>
      <c r="E126" s="204"/>
      <c r="F126" s="205">
        <v>8.18</v>
      </c>
      <c r="G126" s="206"/>
      <c r="H126" s="207"/>
      <c r="I126" s="206"/>
      <c r="J126" s="207"/>
      <c r="K126" s="208"/>
      <c r="L126" s="209"/>
      <c r="M126" s="208"/>
    </row>
    <row r="127" spans="1:13" s="212" customFormat="1" ht="13.5" x14ac:dyDescent="0.25">
      <c r="A127" s="211"/>
      <c r="C127" s="211" t="s">
        <v>44</v>
      </c>
      <c r="D127" s="211" t="s">
        <v>40</v>
      </c>
      <c r="E127" s="258">
        <v>23.8</v>
      </c>
      <c r="F127" s="214">
        <f>F126*E127</f>
        <v>194.684</v>
      </c>
      <c r="G127" s="240">
        <v>0</v>
      </c>
      <c r="H127" s="214">
        <f>F127*G127</f>
        <v>0</v>
      </c>
      <c r="I127" s="216"/>
      <c r="J127" s="217"/>
      <c r="K127" s="216"/>
      <c r="L127" s="217"/>
      <c r="M127" s="215">
        <f>H127</f>
        <v>0</v>
      </c>
    </row>
    <row r="128" spans="1:13" s="212" customFormat="1" ht="13.5" x14ac:dyDescent="0.25">
      <c r="A128" s="211"/>
      <c r="C128" s="211" t="s">
        <v>63</v>
      </c>
      <c r="D128" s="212" t="s">
        <v>9</v>
      </c>
      <c r="E128" s="258">
        <v>2.1</v>
      </c>
      <c r="F128" s="214">
        <f>F126*E128</f>
        <v>17.178000000000001</v>
      </c>
      <c r="G128" s="216"/>
      <c r="H128" s="217"/>
      <c r="I128" s="216"/>
      <c r="J128" s="217"/>
      <c r="K128" s="215">
        <v>0</v>
      </c>
      <c r="L128" s="214">
        <f>F128*K128</f>
        <v>0</v>
      </c>
      <c r="M128" s="215">
        <f>L128</f>
        <v>0</v>
      </c>
    </row>
    <row r="129" spans="1:14" s="212" customFormat="1" ht="13.5" x14ac:dyDescent="0.25">
      <c r="A129" s="218"/>
      <c r="B129" s="218" t="s">
        <v>117</v>
      </c>
      <c r="C129" s="218" t="s">
        <v>118</v>
      </c>
      <c r="D129" s="218" t="s">
        <v>47</v>
      </c>
      <c r="E129" s="215">
        <v>1.05</v>
      </c>
      <c r="F129" s="214">
        <f>F126*E129</f>
        <v>8.5890000000000004</v>
      </c>
      <c r="G129" s="216"/>
      <c r="H129" s="217"/>
      <c r="I129" s="223">
        <v>0</v>
      </c>
      <c r="J129" s="214">
        <f t="shared" ref="J129:J134" si="12">F129*I129</f>
        <v>0</v>
      </c>
      <c r="K129" s="216"/>
      <c r="L129" s="217"/>
      <c r="M129" s="215">
        <f t="shared" ref="M129:M134" si="13">J129</f>
        <v>0</v>
      </c>
    </row>
    <row r="130" spans="1:14" s="212" customFormat="1" ht="13.5" x14ac:dyDescent="0.25">
      <c r="A130" s="218"/>
      <c r="B130" s="218" t="s">
        <v>52</v>
      </c>
      <c r="C130" s="218" t="s">
        <v>53</v>
      </c>
      <c r="D130" s="218" t="s">
        <v>54</v>
      </c>
      <c r="E130" s="211">
        <v>7.2</v>
      </c>
      <c r="F130" s="214">
        <f>F126*E130</f>
        <v>58.896000000000001</v>
      </c>
      <c r="G130" s="215"/>
      <c r="H130" s="214"/>
      <c r="I130" s="223">
        <v>0</v>
      </c>
      <c r="J130" s="214">
        <f t="shared" si="12"/>
        <v>0</v>
      </c>
      <c r="K130" s="216"/>
      <c r="L130" s="217"/>
      <c r="M130" s="215">
        <f t="shared" si="13"/>
        <v>0</v>
      </c>
    </row>
    <row r="131" spans="1:14" s="212" customFormat="1" ht="13.5" x14ac:dyDescent="0.25">
      <c r="A131" s="218"/>
      <c r="B131" s="218" t="s">
        <v>119</v>
      </c>
      <c r="C131" s="218" t="s">
        <v>114</v>
      </c>
      <c r="D131" s="218" t="s">
        <v>54</v>
      </c>
      <c r="E131" s="211">
        <v>4.38</v>
      </c>
      <c r="F131" s="214">
        <f>F126*E131</f>
        <v>35.828399999999995</v>
      </c>
      <c r="G131" s="216"/>
      <c r="H131" s="217"/>
      <c r="I131" s="223">
        <v>0</v>
      </c>
      <c r="J131" s="214">
        <f t="shared" si="12"/>
        <v>0</v>
      </c>
      <c r="K131" s="216"/>
      <c r="L131" s="217"/>
      <c r="M131" s="215">
        <f t="shared" si="13"/>
        <v>0</v>
      </c>
    </row>
    <row r="132" spans="1:14" s="212" customFormat="1" ht="13.5" x14ac:dyDescent="0.25">
      <c r="A132" s="218"/>
      <c r="B132" s="218" t="s">
        <v>56</v>
      </c>
      <c r="C132" s="218" t="s">
        <v>57</v>
      </c>
      <c r="D132" s="218" t="s">
        <v>38</v>
      </c>
      <c r="E132" s="211">
        <v>3.38</v>
      </c>
      <c r="F132" s="214">
        <f>F126*E132</f>
        <v>27.648399999999999</v>
      </c>
      <c r="G132" s="216"/>
      <c r="H132" s="217"/>
      <c r="I132" s="223">
        <v>0</v>
      </c>
      <c r="J132" s="214">
        <f t="shared" si="12"/>
        <v>0</v>
      </c>
      <c r="K132" s="216"/>
      <c r="L132" s="217"/>
      <c r="M132" s="215">
        <f t="shared" si="13"/>
        <v>0</v>
      </c>
    </row>
    <row r="133" spans="1:14" s="212" customFormat="1" ht="13.5" x14ac:dyDescent="0.25">
      <c r="A133" s="218"/>
      <c r="B133" s="218"/>
      <c r="C133" s="218" t="s">
        <v>122</v>
      </c>
      <c r="D133" s="218" t="s">
        <v>54</v>
      </c>
      <c r="E133" s="211">
        <v>1.96</v>
      </c>
      <c r="F133" s="214">
        <f>F126*E133</f>
        <v>16.032799999999998</v>
      </c>
      <c r="G133" s="216"/>
      <c r="H133" s="217"/>
      <c r="I133" s="223">
        <v>0</v>
      </c>
      <c r="J133" s="214">
        <f t="shared" si="12"/>
        <v>0</v>
      </c>
      <c r="K133" s="216"/>
      <c r="L133" s="217"/>
      <c r="M133" s="215">
        <f t="shared" si="13"/>
        <v>0</v>
      </c>
    </row>
    <row r="134" spans="1:14" s="212" customFormat="1" ht="13.5" x14ac:dyDescent="0.25">
      <c r="A134" s="254"/>
      <c r="B134" s="261"/>
      <c r="C134" s="254" t="s">
        <v>106</v>
      </c>
      <c r="D134" s="261" t="s">
        <v>9</v>
      </c>
      <c r="E134" s="262">
        <v>3.44</v>
      </c>
      <c r="F134" s="227">
        <f>F126*E134</f>
        <v>28.139199999999999</v>
      </c>
      <c r="G134" s="228"/>
      <c r="H134" s="229"/>
      <c r="I134" s="223">
        <v>0</v>
      </c>
      <c r="J134" s="227">
        <f t="shared" si="12"/>
        <v>0</v>
      </c>
      <c r="K134" s="228"/>
      <c r="L134" s="229"/>
      <c r="M134" s="226">
        <f t="shared" si="13"/>
        <v>0</v>
      </c>
    </row>
    <row r="135" spans="1:14" s="190" customFormat="1" ht="32.25" customHeight="1" x14ac:dyDescent="0.25">
      <c r="A135" s="187">
        <v>25</v>
      </c>
      <c r="B135" s="188" t="s">
        <v>36</v>
      </c>
      <c r="C135" s="189" t="s">
        <v>189</v>
      </c>
      <c r="D135" s="190" t="s">
        <v>38</v>
      </c>
      <c r="E135" s="191"/>
      <c r="F135" s="192">
        <v>5.7</v>
      </c>
      <c r="G135" s="193"/>
      <c r="H135" s="194"/>
      <c r="I135" s="193"/>
      <c r="J135" s="194"/>
      <c r="K135" s="193"/>
      <c r="L135" s="194"/>
      <c r="M135" s="215"/>
    </row>
    <row r="136" spans="1:14" s="203" customFormat="1" ht="18" customHeight="1" x14ac:dyDescent="0.25">
      <c r="A136" s="236"/>
      <c r="B136" s="236"/>
      <c r="C136" s="236" t="s">
        <v>44</v>
      </c>
      <c r="D136" s="203" t="s">
        <v>40</v>
      </c>
      <c r="E136" s="213">
        <f>(2.581)/0.438</f>
        <v>5.8926940639269407</v>
      </c>
      <c r="F136" s="241">
        <f>F135*E136</f>
        <v>33.588356164383562</v>
      </c>
      <c r="G136" s="240">
        <v>0</v>
      </c>
      <c r="H136" s="241">
        <f>F136*G136</f>
        <v>0</v>
      </c>
      <c r="I136" s="242"/>
      <c r="J136" s="243"/>
      <c r="K136" s="242"/>
      <c r="L136" s="243"/>
      <c r="M136" s="215">
        <f t="shared" ref="M136:M138" si="14">H136+J136+L136</f>
        <v>0</v>
      </c>
    </row>
    <row r="137" spans="1:14" s="203" customFormat="1" ht="18" customHeight="1" x14ac:dyDescent="0.25">
      <c r="A137" s="236"/>
      <c r="B137" s="252" t="s">
        <v>73</v>
      </c>
      <c r="C137" s="236" t="s">
        <v>74</v>
      </c>
      <c r="D137" s="203" t="s">
        <v>38</v>
      </c>
      <c r="E137" s="253" t="s">
        <v>48</v>
      </c>
      <c r="F137" s="241">
        <f>F135*1.178</f>
        <v>6.7145999999999999</v>
      </c>
      <c r="G137" s="246"/>
      <c r="H137" s="243"/>
      <c r="I137" s="223">
        <v>0</v>
      </c>
      <c r="J137" s="241">
        <f>F137*I137</f>
        <v>0</v>
      </c>
      <c r="K137" s="242"/>
      <c r="L137" s="243"/>
      <c r="M137" s="215">
        <f t="shared" si="14"/>
        <v>0</v>
      </c>
    </row>
    <row r="138" spans="1:14" s="212" customFormat="1" ht="13.5" x14ac:dyDescent="0.25">
      <c r="A138" s="225"/>
      <c r="B138" s="254" t="s">
        <v>75</v>
      </c>
      <c r="C138" s="225" t="s">
        <v>76</v>
      </c>
      <c r="D138" s="225" t="s">
        <v>51</v>
      </c>
      <c r="E138" s="256">
        <v>5</v>
      </c>
      <c r="F138" s="256">
        <f>F135*E138</f>
        <v>28.5</v>
      </c>
      <c r="G138" s="257"/>
      <c r="H138" s="257"/>
      <c r="I138" s="223">
        <v>0</v>
      </c>
      <c r="J138" s="256">
        <f t="shared" ref="J138" si="15">F138*I138</f>
        <v>0</v>
      </c>
      <c r="K138" s="257"/>
      <c r="L138" s="257"/>
      <c r="M138" s="226">
        <f t="shared" si="14"/>
        <v>0</v>
      </c>
      <c r="N138" s="218"/>
    </row>
    <row r="139" spans="1:14" s="190" customFormat="1" ht="30.6" customHeight="1" x14ac:dyDescent="0.25">
      <c r="A139" s="282">
        <v>26</v>
      </c>
      <c r="B139" s="348" t="s">
        <v>190</v>
      </c>
      <c r="C139" s="282" t="s">
        <v>191</v>
      </c>
      <c r="D139" s="282" t="s">
        <v>38</v>
      </c>
      <c r="E139" s="282"/>
      <c r="F139" s="283">
        <v>2.4500000000000002</v>
      </c>
      <c r="G139" s="281"/>
      <c r="I139" s="193"/>
      <c r="J139" s="194"/>
      <c r="K139" s="193"/>
      <c r="L139" s="194"/>
      <c r="M139" s="286"/>
    </row>
    <row r="140" spans="1:14" s="212" customFormat="1" ht="13.5" x14ac:dyDescent="0.25">
      <c r="A140" s="211"/>
      <c r="C140" s="211" t="s">
        <v>44</v>
      </c>
      <c r="D140" s="211" t="s">
        <v>40</v>
      </c>
      <c r="E140" s="258">
        <f>3.39/0.6005</f>
        <v>5.6452955870108239</v>
      </c>
      <c r="F140" s="221">
        <f>F139*E140</f>
        <v>13.830974188176519</v>
      </c>
      <c r="G140" s="240">
        <v>0</v>
      </c>
      <c r="H140" s="214">
        <f>F140*G140</f>
        <v>0</v>
      </c>
      <c r="I140" s="216"/>
      <c r="J140" s="217"/>
      <c r="K140" s="216"/>
      <c r="L140" s="217"/>
      <c r="M140" s="215">
        <f>H140</f>
        <v>0</v>
      </c>
    </row>
    <row r="141" spans="1:14" s="212" customFormat="1" ht="13.5" x14ac:dyDescent="0.25">
      <c r="A141" s="211"/>
      <c r="C141" s="211" t="s">
        <v>63</v>
      </c>
      <c r="D141" s="212" t="s">
        <v>9</v>
      </c>
      <c r="E141" s="258">
        <v>0.21</v>
      </c>
      <c r="F141" s="221">
        <f>F139*E141</f>
        <v>0.51450000000000007</v>
      </c>
      <c r="G141" s="259"/>
      <c r="H141" s="217"/>
      <c r="I141" s="215"/>
      <c r="J141" s="214"/>
      <c r="K141" s="215">
        <v>0</v>
      </c>
      <c r="L141" s="214">
        <f>F141*K141</f>
        <v>0</v>
      </c>
      <c r="M141" s="215">
        <f>L141</f>
        <v>0</v>
      </c>
    </row>
    <row r="142" spans="1:14" s="212" customFormat="1" ht="13.5" x14ac:dyDescent="0.25">
      <c r="A142" s="218"/>
      <c r="B142" s="218" t="s">
        <v>117</v>
      </c>
      <c r="C142" s="218" t="s">
        <v>118</v>
      </c>
      <c r="D142" s="218" t="s">
        <v>47</v>
      </c>
      <c r="E142" s="349" t="s">
        <v>48</v>
      </c>
      <c r="F142" s="221">
        <v>2.2599999999999998</v>
      </c>
      <c r="G142" s="259"/>
      <c r="H142" s="217"/>
      <c r="I142" s="223">
        <v>0</v>
      </c>
      <c r="J142" s="214">
        <f>F142*I142</f>
        <v>0</v>
      </c>
      <c r="K142" s="216"/>
      <c r="L142" s="217"/>
      <c r="M142" s="215">
        <f>J142</f>
        <v>0</v>
      </c>
    </row>
    <row r="143" spans="1:14" s="212" customFormat="1" ht="13.5" x14ac:dyDescent="0.25">
      <c r="A143" s="218"/>
      <c r="B143" s="218" t="s">
        <v>52</v>
      </c>
      <c r="C143" s="218" t="s">
        <v>53</v>
      </c>
      <c r="D143" s="218" t="s">
        <v>54</v>
      </c>
      <c r="E143" s="211">
        <v>0.33</v>
      </c>
      <c r="F143" s="221">
        <f>F139*E143</f>
        <v>0.80850000000000011</v>
      </c>
      <c r="G143" s="259"/>
      <c r="H143" s="217"/>
      <c r="I143" s="223">
        <v>0</v>
      </c>
      <c r="J143" s="214">
        <f>F143*I143</f>
        <v>0</v>
      </c>
      <c r="K143" s="216"/>
      <c r="L143" s="217"/>
      <c r="M143" s="215">
        <f>J143</f>
        <v>0</v>
      </c>
    </row>
    <row r="144" spans="1:14" s="212" customFormat="1" ht="13.5" x14ac:dyDescent="0.25">
      <c r="A144" s="254"/>
      <c r="B144" s="261"/>
      <c r="C144" s="254" t="s">
        <v>106</v>
      </c>
      <c r="D144" s="261" t="s">
        <v>9</v>
      </c>
      <c r="E144" s="262">
        <v>0.11</v>
      </c>
      <c r="F144" s="263">
        <f>F139*E144</f>
        <v>0.26950000000000002</v>
      </c>
      <c r="G144" s="264"/>
      <c r="H144" s="229"/>
      <c r="I144" s="223">
        <v>0</v>
      </c>
      <c r="J144" s="227">
        <f>F144*I144</f>
        <v>0</v>
      </c>
      <c r="K144" s="228"/>
      <c r="L144" s="229"/>
      <c r="M144" s="226">
        <f>J144</f>
        <v>0</v>
      </c>
    </row>
    <row r="145" spans="1:13" s="294" customFormat="1" ht="24.6" customHeight="1" x14ac:dyDescent="0.25">
      <c r="A145" s="189">
        <v>27</v>
      </c>
      <c r="B145" s="350" t="s">
        <v>192</v>
      </c>
      <c r="C145" s="189" t="s">
        <v>193</v>
      </c>
      <c r="D145" s="210" t="s">
        <v>38</v>
      </c>
      <c r="E145" s="233"/>
      <c r="F145" s="209">
        <v>7.75</v>
      </c>
      <c r="G145" s="234"/>
      <c r="H145" s="235"/>
      <c r="I145" s="208"/>
      <c r="J145" s="210"/>
      <c r="K145" s="234"/>
      <c r="L145" s="235"/>
      <c r="M145" s="300"/>
    </row>
    <row r="146" spans="1:13" s="266" customFormat="1" ht="13.5" x14ac:dyDescent="0.25">
      <c r="A146" s="211"/>
      <c r="C146" s="211" t="s">
        <v>194</v>
      </c>
      <c r="D146" s="211" t="s">
        <v>38</v>
      </c>
      <c r="E146" s="258">
        <v>1</v>
      </c>
      <c r="F146" s="221">
        <f>F145*E146</f>
        <v>7.75</v>
      </c>
      <c r="G146" s="240">
        <v>0</v>
      </c>
      <c r="H146" s="214">
        <f>F146*G146</f>
        <v>0</v>
      </c>
      <c r="I146" s="216"/>
      <c r="J146" s="217"/>
      <c r="K146" s="216"/>
      <c r="L146" s="217"/>
      <c r="M146" s="215">
        <f>H146</f>
        <v>0</v>
      </c>
    </row>
    <row r="147" spans="1:13" s="266" customFormat="1" ht="13.5" x14ac:dyDescent="0.25">
      <c r="A147" s="211"/>
      <c r="B147" s="212"/>
      <c r="C147" s="211" t="s">
        <v>195</v>
      </c>
      <c r="D147" s="212" t="s">
        <v>9</v>
      </c>
      <c r="E147" s="258">
        <f>(0.95+0.23*4)/100</f>
        <v>1.8700000000000001E-2</v>
      </c>
      <c r="F147" s="221">
        <f>F145*E147</f>
        <v>0.144925</v>
      </c>
      <c r="G147" s="259"/>
      <c r="H147" s="217"/>
      <c r="I147" s="216"/>
      <c r="J147" s="217"/>
      <c r="K147" s="215">
        <v>0</v>
      </c>
      <c r="L147" s="214">
        <f>F147*K147</f>
        <v>0</v>
      </c>
      <c r="M147" s="215">
        <f>L147</f>
        <v>0</v>
      </c>
    </row>
    <row r="148" spans="1:13" s="266" customFormat="1" ht="13.5" x14ac:dyDescent="0.25">
      <c r="A148" s="211"/>
      <c r="B148" s="212" t="s">
        <v>196</v>
      </c>
      <c r="C148" s="211" t="s">
        <v>197</v>
      </c>
      <c r="D148" s="212" t="s">
        <v>47</v>
      </c>
      <c r="E148" s="258">
        <f>(2.04+0.51*4)/100</f>
        <v>4.0800000000000003E-2</v>
      </c>
      <c r="F148" s="221">
        <f>F145*E148</f>
        <v>0.31620000000000004</v>
      </c>
      <c r="G148" s="259"/>
      <c r="H148" s="217"/>
      <c r="I148" s="223">
        <v>0</v>
      </c>
      <c r="J148" s="214">
        <f>F148*I148</f>
        <v>0</v>
      </c>
      <c r="K148" s="216"/>
      <c r="L148" s="217"/>
      <c r="M148" s="215">
        <f>J148</f>
        <v>0</v>
      </c>
    </row>
    <row r="149" spans="1:13" s="212" customFormat="1" ht="13.5" x14ac:dyDescent="0.25">
      <c r="A149" s="254"/>
      <c r="B149" s="261"/>
      <c r="C149" s="254" t="s">
        <v>106</v>
      </c>
      <c r="D149" s="261" t="s">
        <v>9</v>
      </c>
      <c r="E149" s="262">
        <f>6.36/100</f>
        <v>6.3600000000000004E-2</v>
      </c>
      <c r="F149" s="263">
        <f>F145*E149</f>
        <v>0.4929</v>
      </c>
      <c r="G149" s="264"/>
      <c r="H149" s="229"/>
      <c r="I149" s="223">
        <v>0</v>
      </c>
      <c r="J149" s="227">
        <f>F149*I149</f>
        <v>0</v>
      </c>
      <c r="K149" s="228"/>
      <c r="L149" s="229"/>
      <c r="M149" s="226">
        <f>J149</f>
        <v>0</v>
      </c>
    </row>
    <row r="150" spans="1:13" s="210" customFormat="1" ht="27" x14ac:dyDescent="0.25">
      <c r="A150" s="189">
        <v>28</v>
      </c>
      <c r="B150" s="210" t="s">
        <v>198</v>
      </c>
      <c r="C150" s="189" t="s">
        <v>199</v>
      </c>
      <c r="D150" s="210" t="s">
        <v>38</v>
      </c>
      <c r="E150" s="233"/>
      <c r="F150" s="209">
        <v>7.75</v>
      </c>
      <c r="G150" s="234"/>
      <c r="H150" s="235"/>
      <c r="I150" s="208"/>
      <c r="K150" s="234"/>
      <c r="L150" s="235"/>
      <c r="M150" s="208"/>
    </row>
    <row r="151" spans="1:13" s="212" customFormat="1" ht="13.5" x14ac:dyDescent="0.25">
      <c r="A151" s="211"/>
      <c r="B151" s="211"/>
      <c r="C151" s="211" t="s">
        <v>44</v>
      </c>
      <c r="D151" s="211" t="s">
        <v>40</v>
      </c>
      <c r="E151" s="258">
        <v>3.86</v>
      </c>
      <c r="F151" s="221">
        <f>F150*E151</f>
        <v>29.914999999999999</v>
      </c>
      <c r="G151" s="240">
        <v>0</v>
      </c>
      <c r="H151" s="214">
        <f>F151*G151</f>
        <v>0</v>
      </c>
      <c r="I151" s="216"/>
      <c r="J151" s="217"/>
      <c r="K151" s="216"/>
      <c r="L151" s="217"/>
      <c r="M151" s="215">
        <f>H151</f>
        <v>0</v>
      </c>
    </row>
    <row r="152" spans="1:13" s="212" customFormat="1" ht="13.5" x14ac:dyDescent="0.25">
      <c r="A152" s="211"/>
      <c r="C152" s="211" t="s">
        <v>63</v>
      </c>
      <c r="D152" s="212" t="s">
        <v>9</v>
      </c>
      <c r="E152" s="265">
        <v>3.5999999999999997E-2</v>
      </c>
      <c r="F152" s="221">
        <f>F150*E152</f>
        <v>0.27899999999999997</v>
      </c>
      <c r="G152" s="259"/>
      <c r="H152" s="217"/>
      <c r="I152" s="215"/>
      <c r="J152" s="214"/>
      <c r="K152" s="215">
        <v>0</v>
      </c>
      <c r="L152" s="214">
        <f>F152*K152</f>
        <v>0</v>
      </c>
      <c r="M152" s="215">
        <f>L152</f>
        <v>0</v>
      </c>
    </row>
    <row r="153" spans="1:13" s="212" customFormat="1" ht="13.5" x14ac:dyDescent="0.25">
      <c r="A153" s="211"/>
      <c r="B153" s="252" t="s">
        <v>73</v>
      </c>
      <c r="C153" s="236" t="s">
        <v>200</v>
      </c>
      <c r="D153" s="212" t="s">
        <v>38</v>
      </c>
      <c r="E153" s="258">
        <v>1</v>
      </c>
      <c r="F153" s="221">
        <f>F150*E153</f>
        <v>7.75</v>
      </c>
      <c r="G153" s="259"/>
      <c r="H153" s="217"/>
      <c r="I153" s="223">
        <v>0</v>
      </c>
      <c r="J153" s="214">
        <f>F153*I153</f>
        <v>0</v>
      </c>
      <c r="K153" s="216"/>
      <c r="L153" s="217"/>
      <c r="M153" s="215">
        <f>J153</f>
        <v>0</v>
      </c>
    </row>
    <row r="154" spans="1:13" s="212" customFormat="1" ht="13.5" x14ac:dyDescent="0.25">
      <c r="A154" s="211"/>
      <c r="B154" s="212" t="s">
        <v>196</v>
      </c>
      <c r="C154" s="211" t="s">
        <v>201</v>
      </c>
      <c r="D154" s="212" t="s">
        <v>47</v>
      </c>
      <c r="E154" s="258">
        <v>0.03</v>
      </c>
      <c r="F154" s="221">
        <f>F150*E154</f>
        <v>0.23249999999999998</v>
      </c>
      <c r="G154" s="259"/>
      <c r="H154" s="217"/>
      <c r="I154" s="223">
        <v>0</v>
      </c>
      <c r="J154" s="214">
        <f>F154*I154</f>
        <v>0</v>
      </c>
      <c r="K154" s="216"/>
      <c r="L154" s="217"/>
      <c r="M154" s="215">
        <f>J154</f>
        <v>0</v>
      </c>
    </row>
    <row r="155" spans="1:13" s="212" customFormat="1" ht="13.5" x14ac:dyDescent="0.25">
      <c r="A155" s="254"/>
      <c r="B155" s="261"/>
      <c r="C155" s="254" t="s">
        <v>106</v>
      </c>
      <c r="D155" s="261" t="s">
        <v>9</v>
      </c>
      <c r="E155" s="262">
        <v>4.2999999999999997E-2</v>
      </c>
      <c r="F155" s="263">
        <f>F150*E155</f>
        <v>0.33324999999999999</v>
      </c>
      <c r="G155" s="264"/>
      <c r="H155" s="229"/>
      <c r="I155" s="223">
        <v>0</v>
      </c>
      <c r="J155" s="227">
        <f>F155*I155</f>
        <v>0</v>
      </c>
      <c r="K155" s="228"/>
      <c r="L155" s="229"/>
      <c r="M155" s="226">
        <f>J155</f>
        <v>0</v>
      </c>
    </row>
    <row r="156" spans="1:13" s="210" customFormat="1" ht="27" x14ac:dyDescent="0.25">
      <c r="A156" s="189">
        <v>29</v>
      </c>
      <c r="B156" s="210" t="s">
        <v>149</v>
      </c>
      <c r="C156" s="189" t="s">
        <v>150</v>
      </c>
      <c r="D156" s="210" t="s">
        <v>82</v>
      </c>
      <c r="E156" s="233"/>
      <c r="F156" s="209">
        <v>8</v>
      </c>
      <c r="G156" s="208"/>
      <c r="H156" s="189"/>
      <c r="I156" s="189"/>
      <c r="K156" s="189"/>
      <c r="M156" s="215"/>
    </row>
    <row r="157" spans="1:13" s="212" customFormat="1" ht="13.5" x14ac:dyDescent="0.25">
      <c r="A157" s="254"/>
      <c r="B157" s="254"/>
      <c r="C157" s="254" t="s">
        <v>44</v>
      </c>
      <c r="D157" s="254" t="s">
        <v>40</v>
      </c>
      <c r="E157" s="262">
        <v>1.85</v>
      </c>
      <c r="F157" s="263">
        <f>F156*E157</f>
        <v>14.8</v>
      </c>
      <c r="G157" s="240">
        <v>0</v>
      </c>
      <c r="H157" s="227">
        <f>F157*G157</f>
        <v>0</v>
      </c>
      <c r="I157" s="228"/>
      <c r="J157" s="229"/>
      <c r="K157" s="228"/>
      <c r="L157" s="229"/>
      <c r="M157" s="226">
        <f t="shared" si="7"/>
        <v>0</v>
      </c>
    </row>
    <row r="158" spans="1:13" s="294" customFormat="1" ht="27" x14ac:dyDescent="0.25">
      <c r="A158" s="189">
        <v>30</v>
      </c>
      <c r="B158" s="210" t="s">
        <v>151</v>
      </c>
      <c r="C158" s="189" t="s">
        <v>163</v>
      </c>
      <c r="D158" s="210" t="s">
        <v>47</v>
      </c>
      <c r="E158" s="233"/>
      <c r="F158" s="209">
        <f>8/1.88</f>
        <v>4.2553191489361701</v>
      </c>
      <c r="G158" s="208"/>
      <c r="H158" s="189"/>
      <c r="I158" s="189"/>
      <c r="J158" s="210"/>
      <c r="K158" s="189"/>
      <c r="L158" s="210"/>
      <c r="M158" s="215"/>
    </row>
    <row r="159" spans="1:13" s="266" customFormat="1" ht="13.5" x14ac:dyDescent="0.25">
      <c r="A159" s="254"/>
      <c r="B159" s="254"/>
      <c r="C159" s="254" t="s">
        <v>44</v>
      </c>
      <c r="D159" s="254" t="s">
        <v>40</v>
      </c>
      <c r="E159" s="262">
        <v>0.87</v>
      </c>
      <c r="F159" s="263">
        <f>F158*E159</f>
        <v>3.7021276595744679</v>
      </c>
      <c r="G159" s="240">
        <v>0</v>
      </c>
      <c r="H159" s="227">
        <f>F159*G159</f>
        <v>0</v>
      </c>
      <c r="I159" s="264"/>
      <c r="J159" s="279"/>
      <c r="K159" s="264"/>
      <c r="L159" s="279"/>
      <c r="M159" s="226">
        <f t="shared" si="7"/>
        <v>0</v>
      </c>
    </row>
    <row r="160" spans="1:13" s="297" customFormat="1" ht="38.25" x14ac:dyDescent="0.25">
      <c r="A160" s="310">
        <v>31</v>
      </c>
      <c r="B160" s="311" t="s">
        <v>152</v>
      </c>
      <c r="C160" s="310" t="s">
        <v>153</v>
      </c>
      <c r="D160" s="312" t="s">
        <v>82</v>
      </c>
      <c r="E160" s="313"/>
      <c r="F160" s="314">
        <v>8</v>
      </c>
      <c r="G160" s="308"/>
      <c r="H160" s="307"/>
      <c r="I160" s="308"/>
      <c r="J160" s="307"/>
      <c r="K160" s="215">
        <v>0</v>
      </c>
      <c r="L160" s="307">
        <f>F160*K160</f>
        <v>0</v>
      </c>
      <c r="M160" s="240">
        <f t="shared" si="7"/>
        <v>0</v>
      </c>
    </row>
    <row r="161" spans="1:256" s="321" customFormat="1" ht="15.75" x14ac:dyDescent="0.3">
      <c r="A161" s="315"/>
      <c r="B161" s="316"/>
      <c r="C161" s="315" t="s">
        <v>154</v>
      </c>
      <c r="D161" s="315"/>
      <c r="E161" s="317"/>
      <c r="F161" s="317"/>
      <c r="G161" s="318"/>
      <c r="H161" s="319">
        <f>SUM(H16:H160)</f>
        <v>0</v>
      </c>
      <c r="I161" s="320"/>
      <c r="J161" s="319">
        <f>SUM(J16:J160)</f>
        <v>0</v>
      </c>
      <c r="K161" s="319"/>
      <c r="L161" s="319">
        <f>SUM(L16:L160)</f>
        <v>0</v>
      </c>
      <c r="M161" s="319">
        <f>SUM(M16:M160)</f>
        <v>0</v>
      </c>
    </row>
    <row r="162" spans="1:256" s="321" customFormat="1" ht="58.5" customHeight="1" x14ac:dyDescent="0.3">
      <c r="A162" s="315"/>
      <c r="B162" s="322" t="s">
        <v>155</v>
      </c>
      <c r="C162" s="323" t="s">
        <v>156</v>
      </c>
      <c r="D162" s="324">
        <v>0</v>
      </c>
      <c r="E162" s="317"/>
      <c r="F162" s="317"/>
      <c r="G162" s="318"/>
      <c r="H162" s="319">
        <f>H161*D162</f>
        <v>0</v>
      </c>
      <c r="I162" s="320"/>
      <c r="J162" s="319"/>
      <c r="K162" s="319"/>
      <c r="L162" s="319">
        <f>L161*D162</f>
        <v>0</v>
      </c>
      <c r="M162" s="319">
        <f>H162+L162</f>
        <v>0</v>
      </c>
    </row>
    <row r="163" spans="1:256" s="321" customFormat="1" ht="20.45" customHeight="1" x14ac:dyDescent="0.3">
      <c r="A163" s="315"/>
      <c r="B163" s="322"/>
      <c r="C163" s="325" t="s">
        <v>157</v>
      </c>
      <c r="D163" s="324">
        <v>0</v>
      </c>
      <c r="E163" s="317"/>
      <c r="F163" s="317"/>
      <c r="G163" s="318"/>
      <c r="H163" s="319"/>
      <c r="I163" s="320"/>
      <c r="J163" s="319"/>
      <c r="K163" s="319"/>
      <c r="L163" s="319">
        <f>(J161)*D163</f>
        <v>0</v>
      </c>
      <c r="M163" s="319">
        <f>H163+L163</f>
        <v>0</v>
      </c>
    </row>
    <row r="164" spans="1:256" s="321" customFormat="1" ht="15.75" x14ac:dyDescent="0.3">
      <c r="A164" s="315"/>
      <c r="B164" s="315"/>
      <c r="C164" s="315" t="s">
        <v>154</v>
      </c>
      <c r="D164" s="315"/>
      <c r="E164" s="317"/>
      <c r="F164" s="317"/>
      <c r="G164" s="318"/>
      <c r="H164" s="319">
        <f>H161+H162+H163</f>
        <v>0</v>
      </c>
      <c r="I164" s="320"/>
      <c r="J164" s="319">
        <f>J161+J162+J163</f>
        <v>0</v>
      </c>
      <c r="K164" s="319"/>
      <c r="L164" s="319">
        <f>L161+L162+L163</f>
        <v>0</v>
      </c>
      <c r="M164" s="319">
        <f>M161+M162+M163</f>
        <v>0</v>
      </c>
    </row>
    <row r="165" spans="1:256" x14ac:dyDescent="0.3">
      <c r="A165" s="326"/>
      <c r="B165" s="326"/>
      <c r="C165" s="327" t="s">
        <v>158</v>
      </c>
      <c r="D165" s="328">
        <v>0</v>
      </c>
      <c r="E165" s="329"/>
      <c r="F165" s="329"/>
      <c r="G165" s="330"/>
      <c r="H165" s="331">
        <f>(H164)*D165</f>
        <v>0</v>
      </c>
      <c r="I165" s="331"/>
      <c r="J165" s="331">
        <f>(J164)*D165</f>
        <v>0</v>
      </c>
      <c r="K165" s="331"/>
      <c r="L165" s="331">
        <f>(L164)*D165</f>
        <v>0</v>
      </c>
      <c r="M165" s="331">
        <f>SUM(H165:L165)</f>
        <v>0</v>
      </c>
      <c r="N165" s="332"/>
      <c r="O165" s="321"/>
      <c r="P165" s="321"/>
      <c r="Q165" s="321"/>
      <c r="R165" s="321"/>
      <c r="S165" s="321"/>
      <c r="T165" s="321"/>
      <c r="U165" s="321"/>
      <c r="V165" s="321"/>
      <c r="W165" s="321"/>
      <c r="X165" s="321"/>
      <c r="Y165" s="321"/>
      <c r="Z165" s="321"/>
      <c r="AA165" s="321"/>
      <c r="AB165" s="321"/>
      <c r="AC165" s="321"/>
      <c r="AD165" s="321"/>
      <c r="AE165" s="321"/>
      <c r="AF165" s="321"/>
      <c r="AG165" s="321"/>
      <c r="AH165" s="321"/>
      <c r="AI165" s="321"/>
      <c r="AJ165" s="321"/>
      <c r="AK165" s="321"/>
      <c r="AL165" s="321"/>
      <c r="AM165" s="321"/>
      <c r="AN165" s="321"/>
      <c r="AO165" s="321"/>
      <c r="AP165" s="321"/>
      <c r="AQ165" s="321"/>
      <c r="AR165" s="321"/>
      <c r="AS165" s="321"/>
      <c r="AT165" s="321"/>
      <c r="AU165" s="321"/>
      <c r="AV165" s="321"/>
      <c r="AW165" s="321"/>
      <c r="AX165" s="321"/>
      <c r="AY165" s="321"/>
      <c r="AZ165" s="321"/>
      <c r="BA165" s="321"/>
      <c r="BB165" s="321"/>
      <c r="BC165" s="321"/>
      <c r="BD165" s="321"/>
      <c r="BE165" s="321"/>
      <c r="BF165" s="321"/>
      <c r="BG165" s="321"/>
      <c r="BH165" s="321"/>
      <c r="BI165" s="321"/>
      <c r="BJ165" s="321"/>
      <c r="BK165" s="321"/>
      <c r="BL165" s="321"/>
      <c r="BM165" s="321"/>
      <c r="BN165" s="321"/>
      <c r="BO165" s="321"/>
      <c r="BP165" s="321"/>
      <c r="BQ165" s="321"/>
      <c r="BR165" s="321"/>
      <c r="BS165" s="321"/>
      <c r="BT165" s="321"/>
      <c r="BU165" s="321"/>
      <c r="BV165" s="321"/>
      <c r="BW165" s="321"/>
      <c r="BX165" s="321"/>
      <c r="BY165" s="321"/>
      <c r="BZ165" s="321"/>
      <c r="CA165" s="321"/>
      <c r="CB165" s="321"/>
      <c r="CC165" s="321"/>
      <c r="CD165" s="321"/>
      <c r="CE165" s="321"/>
      <c r="CF165" s="321"/>
      <c r="CG165" s="321"/>
      <c r="CH165" s="321"/>
      <c r="CI165" s="321"/>
      <c r="CJ165" s="321"/>
      <c r="CK165" s="321"/>
      <c r="CL165" s="321"/>
      <c r="CM165" s="321"/>
      <c r="CN165" s="321"/>
      <c r="CO165" s="321"/>
      <c r="CP165" s="321"/>
      <c r="CQ165" s="321"/>
      <c r="CR165" s="321"/>
      <c r="CS165" s="321"/>
      <c r="CT165" s="321"/>
      <c r="CU165" s="321"/>
      <c r="CV165" s="321"/>
      <c r="CW165" s="321"/>
      <c r="CX165" s="321"/>
      <c r="CY165" s="321"/>
      <c r="CZ165" s="321"/>
      <c r="DA165" s="321"/>
      <c r="DB165" s="321"/>
      <c r="DC165" s="321"/>
      <c r="DD165" s="321"/>
      <c r="DE165" s="321"/>
      <c r="DF165" s="321"/>
      <c r="DG165" s="321"/>
      <c r="DH165" s="321"/>
      <c r="DI165" s="321"/>
      <c r="DJ165" s="321"/>
      <c r="DK165" s="321"/>
      <c r="DL165" s="321"/>
      <c r="DM165" s="321"/>
      <c r="DN165" s="321"/>
      <c r="DO165" s="321"/>
      <c r="DP165" s="321"/>
      <c r="DQ165" s="321"/>
      <c r="DR165" s="321"/>
      <c r="DS165" s="321"/>
      <c r="DT165" s="321"/>
      <c r="DU165" s="321"/>
      <c r="DV165" s="321"/>
      <c r="DW165" s="321"/>
      <c r="DX165" s="321"/>
      <c r="DY165" s="321"/>
      <c r="DZ165" s="321"/>
      <c r="EA165" s="321"/>
      <c r="EB165" s="321"/>
      <c r="EC165" s="321"/>
      <c r="ED165" s="321"/>
      <c r="EE165" s="321"/>
      <c r="EF165" s="321"/>
      <c r="EG165" s="321"/>
      <c r="EH165" s="321"/>
      <c r="EI165" s="321"/>
      <c r="EJ165" s="321"/>
      <c r="EK165" s="321"/>
      <c r="EL165" s="321"/>
      <c r="EM165" s="321"/>
      <c r="EN165" s="321"/>
      <c r="EO165" s="321"/>
      <c r="EP165" s="321"/>
      <c r="EQ165" s="321"/>
      <c r="ER165" s="321"/>
      <c r="ES165" s="321"/>
      <c r="ET165" s="321"/>
      <c r="EU165" s="321"/>
      <c r="EV165" s="321"/>
      <c r="EW165" s="321"/>
      <c r="EX165" s="321"/>
      <c r="EY165" s="321"/>
      <c r="EZ165" s="321"/>
      <c r="FA165" s="321"/>
      <c r="FB165" s="321"/>
      <c r="FC165" s="321"/>
      <c r="FD165" s="321"/>
      <c r="FE165" s="321"/>
      <c r="FF165" s="321"/>
      <c r="FG165" s="321"/>
      <c r="FH165" s="321"/>
      <c r="FI165" s="321"/>
      <c r="FJ165" s="321"/>
      <c r="FK165" s="321"/>
      <c r="FL165" s="321"/>
      <c r="FM165" s="321"/>
      <c r="FN165" s="321"/>
      <c r="FO165" s="321"/>
      <c r="FP165" s="321"/>
      <c r="FQ165" s="321"/>
      <c r="FR165" s="321"/>
      <c r="FS165" s="321"/>
      <c r="FT165" s="321"/>
      <c r="FU165" s="321"/>
      <c r="FV165" s="321"/>
      <c r="FW165" s="321"/>
      <c r="FX165" s="321"/>
      <c r="FY165" s="321"/>
      <c r="FZ165" s="321"/>
      <c r="GA165" s="321"/>
      <c r="GB165" s="321"/>
      <c r="GC165" s="321"/>
      <c r="GD165" s="321"/>
      <c r="GE165" s="321"/>
      <c r="GF165" s="321"/>
      <c r="GG165" s="321"/>
      <c r="GH165" s="321"/>
      <c r="GI165" s="321"/>
      <c r="GJ165" s="321"/>
      <c r="GK165" s="321"/>
      <c r="GL165" s="321"/>
      <c r="GM165" s="321"/>
      <c r="GN165" s="321"/>
      <c r="GO165" s="321"/>
      <c r="GP165" s="321"/>
      <c r="GQ165" s="321"/>
      <c r="GR165" s="321"/>
      <c r="GS165" s="321"/>
      <c r="GT165" s="321"/>
      <c r="GU165" s="321"/>
      <c r="GV165" s="321"/>
      <c r="GW165" s="321"/>
      <c r="GX165" s="321"/>
      <c r="GY165" s="321"/>
      <c r="GZ165" s="321"/>
      <c r="HA165" s="321"/>
      <c r="HB165" s="321"/>
      <c r="HC165" s="321"/>
      <c r="HD165" s="321"/>
      <c r="HE165" s="321"/>
      <c r="HF165" s="321"/>
      <c r="HG165" s="321"/>
      <c r="HH165" s="321"/>
      <c r="HI165" s="321"/>
      <c r="HJ165" s="321"/>
      <c r="HK165" s="321"/>
      <c r="HL165" s="321"/>
      <c r="HM165" s="321"/>
      <c r="HN165" s="321"/>
      <c r="HO165" s="321"/>
      <c r="HP165" s="321"/>
      <c r="HQ165" s="321"/>
      <c r="HR165" s="321"/>
      <c r="HS165" s="321"/>
      <c r="HT165" s="321"/>
      <c r="HU165" s="321"/>
      <c r="HV165" s="321"/>
      <c r="HW165" s="321"/>
      <c r="HX165" s="321"/>
      <c r="HY165" s="321"/>
      <c r="HZ165" s="321"/>
      <c r="IA165" s="321"/>
      <c r="IB165" s="321"/>
      <c r="IC165" s="321"/>
      <c r="ID165" s="321"/>
      <c r="IE165" s="321"/>
      <c r="IF165" s="321"/>
      <c r="IG165" s="321"/>
      <c r="IH165" s="321"/>
      <c r="II165" s="321"/>
      <c r="IJ165" s="321"/>
      <c r="IK165" s="321"/>
      <c r="IL165" s="321"/>
      <c r="IM165" s="321"/>
      <c r="IN165" s="321"/>
      <c r="IO165" s="321"/>
      <c r="IP165" s="321"/>
      <c r="IQ165" s="321"/>
      <c r="IR165" s="321"/>
      <c r="IS165" s="321"/>
      <c r="IT165" s="321"/>
      <c r="IU165" s="321"/>
      <c r="IV165" s="321"/>
    </row>
    <row r="166" spans="1:256" x14ac:dyDescent="0.3">
      <c r="A166" s="333"/>
      <c r="B166" s="333"/>
      <c r="C166" s="327" t="s">
        <v>154</v>
      </c>
      <c r="D166" s="334"/>
      <c r="E166" s="333"/>
      <c r="F166" s="333"/>
      <c r="G166" s="333"/>
      <c r="H166" s="335">
        <f>H164+H165</f>
        <v>0</v>
      </c>
      <c r="I166" s="331"/>
      <c r="J166" s="335">
        <f>J164+J165</f>
        <v>0</v>
      </c>
      <c r="K166" s="331"/>
      <c r="L166" s="335">
        <f>L164+L165</f>
        <v>0</v>
      </c>
      <c r="M166" s="331">
        <f>SUM(H166:L166)</f>
        <v>0</v>
      </c>
      <c r="N166" s="336"/>
    </row>
    <row r="167" spans="1:256" x14ac:dyDescent="0.3">
      <c r="A167" s="326"/>
      <c r="B167" s="326"/>
      <c r="C167" s="327" t="s">
        <v>159</v>
      </c>
      <c r="D167" s="328">
        <v>0</v>
      </c>
      <c r="E167" s="329"/>
      <c r="F167" s="329"/>
      <c r="G167" s="330"/>
      <c r="H167" s="331">
        <f>H166*D167</f>
        <v>0</v>
      </c>
      <c r="I167" s="331"/>
      <c r="J167" s="335">
        <f>J166*D167</f>
        <v>0</v>
      </c>
      <c r="K167" s="331"/>
      <c r="L167" s="331">
        <f>L166*D167</f>
        <v>0</v>
      </c>
      <c r="M167" s="331">
        <f>SUM(H167:L167)</f>
        <v>0</v>
      </c>
      <c r="N167" s="332"/>
      <c r="O167" s="321"/>
      <c r="P167" s="321"/>
      <c r="Q167" s="321"/>
      <c r="R167" s="321"/>
      <c r="S167" s="321"/>
      <c r="T167" s="321"/>
      <c r="U167" s="321"/>
      <c r="V167" s="321"/>
      <c r="W167" s="321"/>
      <c r="X167" s="321"/>
      <c r="Y167" s="321"/>
      <c r="Z167" s="321"/>
      <c r="AA167" s="321"/>
      <c r="AB167" s="321"/>
      <c r="AC167" s="321"/>
      <c r="AD167" s="321"/>
      <c r="AE167" s="321"/>
      <c r="AF167" s="321"/>
      <c r="AG167" s="321"/>
      <c r="AH167" s="321"/>
      <c r="AI167" s="321"/>
      <c r="AJ167" s="321"/>
      <c r="AK167" s="321"/>
      <c r="AL167" s="321"/>
      <c r="AM167" s="321"/>
      <c r="AN167" s="321"/>
      <c r="AO167" s="321"/>
      <c r="AP167" s="321"/>
      <c r="AQ167" s="321"/>
      <c r="AR167" s="321"/>
      <c r="AS167" s="321"/>
      <c r="AT167" s="321"/>
      <c r="AU167" s="321"/>
      <c r="AV167" s="321"/>
      <c r="AW167" s="321"/>
      <c r="AX167" s="321"/>
      <c r="AY167" s="321"/>
      <c r="AZ167" s="321"/>
      <c r="BA167" s="321"/>
      <c r="BB167" s="321"/>
      <c r="BC167" s="321"/>
      <c r="BD167" s="321"/>
      <c r="BE167" s="321"/>
      <c r="BF167" s="321"/>
      <c r="BG167" s="321"/>
      <c r="BH167" s="321"/>
      <c r="BI167" s="321"/>
      <c r="BJ167" s="321"/>
      <c r="BK167" s="321"/>
      <c r="BL167" s="321"/>
      <c r="BM167" s="321"/>
      <c r="BN167" s="321"/>
      <c r="BO167" s="321"/>
      <c r="BP167" s="321"/>
      <c r="BQ167" s="321"/>
      <c r="BR167" s="321"/>
      <c r="BS167" s="321"/>
      <c r="BT167" s="321"/>
      <c r="BU167" s="321"/>
      <c r="BV167" s="321"/>
      <c r="BW167" s="321"/>
      <c r="BX167" s="321"/>
      <c r="BY167" s="321"/>
      <c r="BZ167" s="321"/>
      <c r="CA167" s="321"/>
      <c r="CB167" s="321"/>
      <c r="CC167" s="321"/>
      <c r="CD167" s="321"/>
      <c r="CE167" s="321"/>
      <c r="CF167" s="321"/>
      <c r="CG167" s="321"/>
      <c r="CH167" s="321"/>
      <c r="CI167" s="321"/>
      <c r="CJ167" s="321"/>
      <c r="CK167" s="321"/>
      <c r="CL167" s="321"/>
      <c r="CM167" s="321"/>
      <c r="CN167" s="321"/>
      <c r="CO167" s="321"/>
      <c r="CP167" s="321"/>
      <c r="CQ167" s="321"/>
      <c r="CR167" s="321"/>
      <c r="CS167" s="321"/>
      <c r="CT167" s="321"/>
      <c r="CU167" s="321"/>
      <c r="CV167" s="321"/>
      <c r="CW167" s="321"/>
      <c r="CX167" s="321"/>
      <c r="CY167" s="321"/>
      <c r="CZ167" s="321"/>
      <c r="DA167" s="321"/>
      <c r="DB167" s="321"/>
      <c r="DC167" s="321"/>
      <c r="DD167" s="321"/>
      <c r="DE167" s="321"/>
      <c r="DF167" s="321"/>
      <c r="DG167" s="321"/>
      <c r="DH167" s="321"/>
      <c r="DI167" s="321"/>
      <c r="DJ167" s="321"/>
      <c r="DK167" s="321"/>
      <c r="DL167" s="321"/>
      <c r="DM167" s="321"/>
      <c r="DN167" s="321"/>
      <c r="DO167" s="321"/>
      <c r="DP167" s="321"/>
      <c r="DQ167" s="321"/>
      <c r="DR167" s="321"/>
      <c r="DS167" s="321"/>
      <c r="DT167" s="321"/>
      <c r="DU167" s="321"/>
      <c r="DV167" s="321"/>
      <c r="DW167" s="321"/>
      <c r="DX167" s="321"/>
      <c r="DY167" s="321"/>
      <c r="DZ167" s="321"/>
      <c r="EA167" s="321"/>
      <c r="EB167" s="321"/>
      <c r="EC167" s="321"/>
      <c r="ED167" s="321"/>
      <c r="EE167" s="321"/>
      <c r="EF167" s="321"/>
      <c r="EG167" s="321"/>
      <c r="EH167" s="321"/>
      <c r="EI167" s="321"/>
      <c r="EJ167" s="321"/>
      <c r="EK167" s="321"/>
      <c r="EL167" s="321"/>
      <c r="EM167" s="321"/>
      <c r="EN167" s="321"/>
      <c r="EO167" s="321"/>
      <c r="EP167" s="321"/>
      <c r="EQ167" s="321"/>
      <c r="ER167" s="321"/>
      <c r="ES167" s="321"/>
      <c r="ET167" s="321"/>
      <c r="EU167" s="321"/>
      <c r="EV167" s="321"/>
      <c r="EW167" s="321"/>
      <c r="EX167" s="321"/>
      <c r="EY167" s="321"/>
      <c r="EZ167" s="321"/>
      <c r="FA167" s="321"/>
      <c r="FB167" s="321"/>
      <c r="FC167" s="321"/>
      <c r="FD167" s="321"/>
      <c r="FE167" s="321"/>
      <c r="FF167" s="321"/>
      <c r="FG167" s="321"/>
      <c r="FH167" s="321"/>
      <c r="FI167" s="321"/>
      <c r="FJ167" s="321"/>
      <c r="FK167" s="321"/>
      <c r="FL167" s="321"/>
      <c r="FM167" s="321"/>
      <c r="FN167" s="321"/>
      <c r="FO167" s="321"/>
      <c r="FP167" s="321"/>
      <c r="FQ167" s="321"/>
      <c r="FR167" s="321"/>
      <c r="FS167" s="321"/>
      <c r="FT167" s="321"/>
      <c r="FU167" s="321"/>
      <c r="FV167" s="321"/>
      <c r="FW167" s="321"/>
      <c r="FX167" s="321"/>
      <c r="FY167" s="321"/>
      <c r="FZ167" s="321"/>
      <c r="GA167" s="321"/>
      <c r="GB167" s="321"/>
      <c r="GC167" s="321"/>
      <c r="GD167" s="321"/>
      <c r="GE167" s="321"/>
      <c r="GF167" s="321"/>
      <c r="GG167" s="321"/>
      <c r="GH167" s="321"/>
      <c r="GI167" s="321"/>
      <c r="GJ167" s="321"/>
      <c r="GK167" s="321"/>
      <c r="GL167" s="321"/>
      <c r="GM167" s="321"/>
      <c r="GN167" s="321"/>
      <c r="GO167" s="321"/>
      <c r="GP167" s="321"/>
      <c r="GQ167" s="321"/>
      <c r="GR167" s="321"/>
      <c r="GS167" s="321"/>
      <c r="GT167" s="321"/>
      <c r="GU167" s="321"/>
      <c r="GV167" s="321"/>
      <c r="GW167" s="321"/>
      <c r="GX167" s="321"/>
      <c r="GY167" s="321"/>
      <c r="GZ167" s="321"/>
      <c r="HA167" s="321"/>
      <c r="HB167" s="321"/>
      <c r="HC167" s="321"/>
      <c r="HD167" s="321"/>
      <c r="HE167" s="321"/>
      <c r="HF167" s="321"/>
      <c r="HG167" s="321"/>
      <c r="HH167" s="321"/>
      <c r="HI167" s="321"/>
      <c r="HJ167" s="321"/>
      <c r="HK167" s="321"/>
      <c r="HL167" s="321"/>
      <c r="HM167" s="321"/>
      <c r="HN167" s="321"/>
      <c r="HO167" s="321"/>
      <c r="HP167" s="321"/>
      <c r="HQ167" s="321"/>
      <c r="HR167" s="321"/>
      <c r="HS167" s="321"/>
      <c r="HT167" s="321"/>
      <c r="HU167" s="321"/>
      <c r="HV167" s="321"/>
      <c r="HW167" s="321"/>
      <c r="HX167" s="321"/>
      <c r="HY167" s="321"/>
      <c r="HZ167" s="321"/>
      <c r="IA167" s="321"/>
      <c r="IB167" s="321"/>
      <c r="IC167" s="321"/>
      <c r="ID167" s="321"/>
      <c r="IE167" s="321"/>
      <c r="IF167" s="321"/>
      <c r="IG167" s="321"/>
      <c r="IH167" s="321"/>
      <c r="II167" s="321"/>
      <c r="IJ167" s="321"/>
      <c r="IK167" s="321"/>
      <c r="IL167" s="321"/>
      <c r="IM167" s="321"/>
      <c r="IN167" s="321"/>
      <c r="IO167" s="321"/>
      <c r="IP167" s="321"/>
      <c r="IQ167" s="321"/>
      <c r="IR167" s="321"/>
      <c r="IS167" s="321"/>
      <c r="IT167" s="321"/>
      <c r="IU167" s="321"/>
      <c r="IV167" s="321"/>
    </row>
    <row r="168" spans="1:256" x14ac:dyDescent="0.3">
      <c r="A168" s="333"/>
      <c r="B168" s="333"/>
      <c r="C168" s="327" t="s">
        <v>154</v>
      </c>
      <c r="D168" s="334"/>
      <c r="E168" s="333"/>
      <c r="F168" s="333"/>
      <c r="G168" s="333"/>
      <c r="H168" s="335">
        <f>H166+H167</f>
        <v>0</v>
      </c>
      <c r="I168" s="331"/>
      <c r="J168" s="335">
        <f>J166+J167</f>
        <v>0</v>
      </c>
      <c r="K168" s="331"/>
      <c r="L168" s="331">
        <f>L166+L167</f>
        <v>0</v>
      </c>
      <c r="M168" s="331">
        <f>SUM(H168:L168)</f>
        <v>0</v>
      </c>
      <c r="N168" s="336"/>
    </row>
    <row r="169" spans="1:256" x14ac:dyDescent="0.3">
      <c r="A169" s="337"/>
      <c r="B169" s="337"/>
      <c r="C169" s="338" t="s">
        <v>160</v>
      </c>
      <c r="D169" s="339">
        <v>0.02</v>
      </c>
      <c r="E169" s="337"/>
      <c r="F169" s="337"/>
      <c r="G169" s="337"/>
      <c r="H169" s="337"/>
      <c r="I169" s="337"/>
      <c r="J169" s="337"/>
      <c r="K169" s="337"/>
      <c r="L169" s="337"/>
      <c r="M169" s="340">
        <f>M168*D169</f>
        <v>0</v>
      </c>
    </row>
    <row r="170" spans="1:256" x14ac:dyDescent="0.3">
      <c r="A170" s="333"/>
      <c r="B170" s="333"/>
      <c r="C170" s="341" t="s">
        <v>154</v>
      </c>
      <c r="D170" s="327"/>
      <c r="E170" s="333"/>
      <c r="F170" s="333"/>
      <c r="G170" s="333"/>
      <c r="H170" s="335"/>
      <c r="I170" s="331"/>
      <c r="J170" s="335"/>
      <c r="K170" s="331"/>
      <c r="L170" s="331"/>
      <c r="M170" s="342">
        <f>M168+M169</f>
        <v>0</v>
      </c>
    </row>
    <row r="171" spans="1:256" x14ac:dyDescent="0.3">
      <c r="A171" s="337"/>
      <c r="B171" s="337"/>
      <c r="C171" s="343" t="s">
        <v>161</v>
      </c>
      <c r="D171" s="339">
        <v>0.05</v>
      </c>
      <c r="E171" s="337"/>
      <c r="F171" s="337"/>
      <c r="G171" s="337"/>
      <c r="H171" s="337"/>
      <c r="I171" s="337"/>
      <c r="J171" s="337"/>
      <c r="K171" s="337"/>
      <c r="L171" s="337"/>
      <c r="M171" s="340">
        <f>M170*D171</f>
        <v>0</v>
      </c>
    </row>
    <row r="172" spans="1:256" x14ac:dyDescent="0.3">
      <c r="A172" s="337"/>
      <c r="B172" s="337"/>
      <c r="C172" s="344" t="s">
        <v>20</v>
      </c>
      <c r="D172" s="345"/>
      <c r="E172" s="337"/>
      <c r="F172" s="337"/>
      <c r="G172" s="337"/>
      <c r="H172" s="337"/>
      <c r="I172" s="337"/>
      <c r="J172" s="337"/>
      <c r="K172" s="337"/>
      <c r="L172" s="337"/>
      <c r="M172" s="340">
        <f>M170+M171</f>
        <v>0</v>
      </c>
    </row>
  </sheetData>
  <autoFilter ref="A15:M172" xr:uid="{4EEC12F1-FDB9-4200-873A-A8A6C66512B5}"/>
  <mergeCells count="2">
    <mergeCell ref="A1:D1"/>
    <mergeCell ref="N100:R100"/>
  </mergeCells>
  <pageMargins left="0.15748031496062992" right="0.27559055118110237" top="0.51181102362204722" bottom="0.43307086614173229" header="0.11811023622047245" footer="0.15748031496062992"/>
  <pageSetup paperSize="9" orientation="landscape" r:id="rId1"/>
  <headerFooter alignWithMargins="0">
    <oddFooter>&amp;C&amp;R&amp;P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ჯამი</vt:lpstr>
      <vt:lpstr>დამი ნიჟარაძის კოშკი</vt:lpstr>
      <vt:lpstr>ილო ნიჟარაძის კოშკი</vt:lpstr>
      <vt:lpstr>თამარის კოშკი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</dc:creator>
  <cp:lastModifiedBy>Natia</cp:lastModifiedBy>
  <dcterms:created xsi:type="dcterms:W3CDTF">2024-07-25T14:51:49Z</dcterms:created>
  <dcterms:modified xsi:type="dcterms:W3CDTF">2024-07-26T11:12:24Z</dcterms:modified>
</cp:coreProperties>
</file>