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835" tabRatio="752" activeTab="1"/>
  </bookViews>
  <sheets>
    <sheet name="tavfurceli" sheetId="23" r:id="rId1"/>
    <sheet name="krebsiti" sheetId="8" r:id="rId2"/>
    <sheet name="#1" sheetId="24" r:id="rId3"/>
    <sheet name="#2" sheetId="16" r:id="rId4"/>
    <sheet name="#3" sheetId="26" r:id="rId5"/>
    <sheet name="#4" sheetId="17" r:id="rId6"/>
  </sheets>
  <definedNames>
    <definedName name="_xlnm.Print_Area" localSheetId="2">'#1'!$A$1:$L$171</definedName>
    <definedName name="_xlnm.Print_Area" localSheetId="3">'#2'!$A$1:$L$112</definedName>
    <definedName name="_xlnm.Print_Area" localSheetId="4">'#3'!$A$1:$L$88</definedName>
    <definedName name="_xlnm.Print_Area" localSheetId="5">'#4'!$A$1:$L$41</definedName>
    <definedName name="_xlnm.Print_Area" localSheetId="1">krebsiti!$A$1:$E$21</definedName>
    <definedName name="_xlnm.Print_Area" localSheetId="0">tavfurceli!$A$1:$P$14</definedName>
    <definedName name="_xlnm.Print_Titles" localSheetId="2">'#1'!$9:$9</definedName>
    <definedName name="_xlnm.Print_Titles" localSheetId="3">'#2'!$9:$9</definedName>
    <definedName name="_xlnm.Print_Titles" localSheetId="4">'#3'!$9:$9</definedName>
    <definedName name="_xlnm.Print_Titles" localSheetId="5">'#4'!$9:$9</definedName>
  </definedNames>
  <calcPr calcId="152511"/>
</workbook>
</file>

<file path=xl/calcChain.xml><?xml version="1.0" encoding="utf-8"?>
<calcChain xmlns="http://schemas.openxmlformats.org/spreadsheetml/2006/main">
  <c r="E50" i="16" l="1"/>
  <c r="E66" i="16"/>
  <c r="E60" i="16"/>
  <c r="E55" i="16"/>
  <c r="E79" i="24" l="1"/>
  <c r="E84" i="16" l="1"/>
  <c r="E86" i="16" l="1"/>
  <c r="E64" i="16"/>
  <c r="D47" i="16"/>
  <c r="D46" i="16"/>
  <c r="D45" i="16"/>
  <c r="D41" i="16"/>
  <c r="D40" i="16"/>
  <c r="D39" i="16"/>
  <c r="D22" i="16"/>
  <c r="D21" i="16"/>
  <c r="D20" i="16"/>
  <c r="E19" i="16"/>
  <c r="D17" i="16"/>
  <c r="E69" i="16" l="1"/>
  <c r="E22" i="16"/>
  <c r="E21" i="16"/>
  <c r="E20" i="16"/>
  <c r="E68" i="16" l="1"/>
  <c r="E67" i="16"/>
  <c r="N67" i="16" s="1"/>
  <c r="E71" i="16"/>
  <c r="E70" i="16"/>
  <c r="N20" i="16"/>
  <c r="E47" i="26" l="1"/>
  <c r="E14" i="26"/>
  <c r="A1" i="26" l="1"/>
  <c r="E69" i="26"/>
  <c r="E68" i="26"/>
  <c r="E67" i="26"/>
  <c r="E66" i="26"/>
  <c r="E65" i="26"/>
  <c r="D58" i="26"/>
  <c r="C56" i="26"/>
  <c r="D55" i="26"/>
  <c r="D54" i="26"/>
  <c r="E53" i="26"/>
  <c r="D51" i="26"/>
  <c r="E50" i="26"/>
  <c r="E52" i="26" s="1"/>
  <c r="E48" i="26"/>
  <c r="E59" i="26"/>
  <c r="E60" i="26" s="1"/>
  <c r="E45" i="26"/>
  <c r="E44" i="26"/>
  <c r="E43" i="26"/>
  <c r="E42" i="26"/>
  <c r="N42" i="26" s="1"/>
  <c r="D40" i="26"/>
  <c r="D38" i="26"/>
  <c r="D37" i="26"/>
  <c r="E36" i="26"/>
  <c r="E30" i="26"/>
  <c r="E31" i="26" s="1"/>
  <c r="E20" i="26"/>
  <c r="D18" i="26"/>
  <c r="E25" i="26"/>
  <c r="E26" i="26" s="1"/>
  <c r="E40" i="26" l="1"/>
  <c r="E34" i="26"/>
  <c r="E37" i="26"/>
  <c r="E17" i="26"/>
  <c r="E19" i="26" s="1"/>
  <c r="E32" i="26"/>
  <c r="E38" i="26"/>
  <c r="E15" i="26"/>
  <c r="E27" i="26" s="1"/>
  <c r="N26" i="26"/>
  <c r="N31" i="26"/>
  <c r="E18" i="26"/>
  <c r="E24" i="26"/>
  <c r="E22" i="26"/>
  <c r="E21" i="26"/>
  <c r="E51" i="26"/>
  <c r="E61" i="26"/>
  <c r="E49" i="26"/>
  <c r="E58" i="26"/>
  <c r="E55" i="26"/>
  <c r="E54" i="26"/>
  <c r="E28" i="26" l="1"/>
  <c r="E29" i="26"/>
  <c r="E16" i="26"/>
  <c r="N18" i="26"/>
  <c r="E62" i="26"/>
  <c r="E63" i="26"/>
  <c r="N21" i="26"/>
  <c r="N28" i="26" l="1"/>
  <c r="M72" i="26" l="1"/>
  <c r="L86" i="26" l="1"/>
  <c r="L6" i="26" s="1"/>
  <c r="D9" i="8" s="1"/>
  <c r="M26" i="17" l="1"/>
  <c r="L6" i="17" l="1"/>
  <c r="E87" i="16" l="1"/>
  <c r="E65" i="16"/>
  <c r="D58" i="16"/>
  <c r="E59" i="16"/>
  <c r="E52" i="16"/>
  <c r="D34" i="16"/>
  <c r="E28" i="16"/>
  <c r="E13" i="16"/>
  <c r="E47" i="24"/>
  <c r="E61" i="24"/>
  <c r="E54" i="24"/>
  <c r="E49" i="24"/>
  <c r="A1" i="24"/>
  <c r="E144" i="24"/>
  <c r="E143" i="24"/>
  <c r="E142" i="24"/>
  <c r="E135" i="24"/>
  <c r="E136" i="24" s="1"/>
  <c r="P125" i="24"/>
  <c r="O125" i="24"/>
  <c r="E126" i="24"/>
  <c r="N126" i="24" s="1"/>
  <c r="E129" i="24"/>
  <c r="D128" i="24"/>
  <c r="E127" i="24"/>
  <c r="E124" i="24"/>
  <c r="E115" i="24"/>
  <c r="D118" i="24"/>
  <c r="E110" i="24"/>
  <c r="E114" i="24" s="1"/>
  <c r="D108" i="24"/>
  <c r="E100" i="24"/>
  <c r="E102" i="24" s="1"/>
  <c r="E62" i="24" l="1"/>
  <c r="E64" i="24" s="1"/>
  <c r="E81" i="16"/>
  <c r="E85" i="16" s="1"/>
  <c r="E56" i="16"/>
  <c r="E57" i="16"/>
  <c r="E23" i="16"/>
  <c r="E58" i="16"/>
  <c r="E33" i="16"/>
  <c r="E35" i="16" s="1"/>
  <c r="E91" i="16"/>
  <c r="N87" i="16"/>
  <c r="E54" i="16"/>
  <c r="E53" i="16"/>
  <c r="E18" i="16"/>
  <c r="E32" i="16"/>
  <c r="E27" i="16"/>
  <c r="E63" i="16"/>
  <c r="E51" i="16"/>
  <c r="E61" i="16"/>
  <c r="E62" i="16"/>
  <c r="E128" i="24"/>
  <c r="N128" i="24" s="1"/>
  <c r="E141" i="24"/>
  <c r="E137" i="24"/>
  <c r="E104" i="24"/>
  <c r="E103" i="24"/>
  <c r="E101" i="24"/>
  <c r="E105" i="24"/>
  <c r="E111" i="24"/>
  <c r="E112" i="24"/>
  <c r="E116" i="24"/>
  <c r="E113" i="24"/>
  <c r="M129" i="24" l="1"/>
  <c r="E145" i="24"/>
  <c r="E146" i="24"/>
  <c r="E82" i="16"/>
  <c r="E83" i="16"/>
  <c r="E34" i="16"/>
  <c r="N34" i="16" s="1"/>
  <c r="N56" i="16"/>
  <c r="E38" i="16"/>
  <c r="D36" i="16"/>
  <c r="E24" i="16"/>
  <c r="N24" i="16" s="1"/>
  <c r="E43" i="16"/>
  <c r="E25" i="16"/>
  <c r="E37" i="16"/>
  <c r="N27" i="16"/>
  <c r="N53" i="16"/>
  <c r="N51" i="16"/>
  <c r="N18" i="16"/>
  <c r="N61" i="16"/>
  <c r="N136" i="24"/>
  <c r="E139" i="24"/>
  <c r="E138" i="24"/>
  <c r="N138" i="24" s="1"/>
  <c r="E140" i="24"/>
  <c r="N103" i="24"/>
  <c r="N101" i="24"/>
  <c r="N111" i="24"/>
  <c r="E118" i="24"/>
  <c r="E119" i="24"/>
  <c r="E117" i="24"/>
  <c r="E120" i="24"/>
  <c r="E121" i="24"/>
  <c r="E108" i="24"/>
  <c r="E107" i="24"/>
  <c r="E106" i="24"/>
  <c r="E109" i="24"/>
  <c r="D42" i="16" l="1"/>
  <c r="M93" i="16"/>
  <c r="N82" i="16"/>
  <c r="E44" i="16"/>
  <c r="E39" i="16"/>
  <c r="E40" i="16"/>
  <c r="E41" i="16"/>
  <c r="N43" i="16"/>
  <c r="N37" i="16"/>
  <c r="M146" i="24"/>
  <c r="N106" i="24"/>
  <c r="N117" i="24"/>
  <c r="E48" i="16" l="1"/>
  <c r="M121" i="24"/>
  <c r="N39" i="16"/>
  <c r="E45" i="16"/>
  <c r="E47" i="16"/>
  <c r="E46" i="16"/>
  <c r="N45" i="16" l="1"/>
  <c r="L102" i="16" l="1"/>
  <c r="M73" i="16"/>
  <c r="L105" i="16"/>
  <c r="L103" i="16" l="1"/>
  <c r="L104" i="16" s="1"/>
  <c r="L106" i="16" s="1"/>
  <c r="L107" i="16" s="1"/>
  <c r="L108" i="16" s="1"/>
  <c r="L110" i="16" s="1"/>
  <c r="L6" i="16" s="1"/>
  <c r="D8" i="8" s="1"/>
  <c r="E90" i="24"/>
  <c r="E93" i="24" s="1"/>
  <c r="D86" i="24"/>
  <c r="D85" i="24"/>
  <c r="D83" i="24"/>
  <c r="E83" i="24" s="1"/>
  <c r="E82" i="24"/>
  <c r="D81" i="24"/>
  <c r="E81" i="24" s="1"/>
  <c r="D80" i="24"/>
  <c r="E80" i="24" s="1"/>
  <c r="D78" i="24"/>
  <c r="E78" i="24" s="1"/>
  <c r="D77" i="24"/>
  <c r="E77" i="24" s="1"/>
  <c r="D76" i="24"/>
  <c r="E76" i="24" s="1"/>
  <c r="D74" i="24"/>
  <c r="D73" i="24"/>
  <c r="D71" i="24"/>
  <c r="D70" i="24"/>
  <c r="D69" i="24"/>
  <c r="E67" i="24"/>
  <c r="E58" i="24"/>
  <c r="D52" i="24"/>
  <c r="E73" i="24" l="1"/>
  <c r="E52" i="24"/>
  <c r="E92" i="24"/>
  <c r="E95" i="24"/>
  <c r="E63" i="24"/>
  <c r="E91" i="24"/>
  <c r="N91" i="24" s="1"/>
  <c r="N76" i="24"/>
  <c r="E53" i="24"/>
  <c r="E56" i="24"/>
  <c r="E60" i="24"/>
  <c r="E72" i="24"/>
  <c r="E84" i="24" s="1"/>
  <c r="E74" i="24"/>
  <c r="E50" i="24"/>
  <c r="E51" i="24"/>
  <c r="E59" i="24"/>
  <c r="E69" i="24"/>
  <c r="E70" i="24"/>
  <c r="E71" i="24"/>
  <c r="E94" i="24"/>
  <c r="E57" i="24"/>
  <c r="E48" i="24"/>
  <c r="E55" i="24"/>
  <c r="E68" i="24"/>
  <c r="N63" i="24" l="1"/>
  <c r="N68" i="24"/>
  <c r="N55" i="24"/>
  <c r="E66" i="24"/>
  <c r="E65" i="24"/>
  <c r="N48" i="24"/>
  <c r="N50" i="24"/>
  <c r="E89" i="24" l="1"/>
  <c r="E87" i="24"/>
  <c r="E88" i="24"/>
  <c r="E86" i="24"/>
  <c r="E85" i="24"/>
  <c r="N65" i="24"/>
  <c r="M95" i="24" l="1"/>
  <c r="N85" i="24"/>
  <c r="D44" i="24" l="1"/>
  <c r="D43" i="24"/>
  <c r="D40" i="24"/>
  <c r="E38" i="24"/>
  <c r="E41" i="24" s="1"/>
  <c r="D36" i="24"/>
  <c r="E33" i="24"/>
  <c r="E37" i="24" s="1"/>
  <c r="E28" i="24"/>
  <c r="E30" i="24" s="1"/>
  <c r="E44" i="24" l="1"/>
  <c r="E35" i="24"/>
  <c r="E43" i="24"/>
  <c r="E39" i="24"/>
  <c r="E31" i="24"/>
  <c r="N31" i="24" s="1"/>
  <c r="E32" i="24"/>
  <c r="E29" i="24"/>
  <c r="E36" i="24"/>
  <c r="E34" i="24"/>
  <c r="N34" i="24" s="1"/>
  <c r="E40" i="24"/>
  <c r="E42" i="24"/>
  <c r="N39" i="24" l="1"/>
  <c r="N29" i="24"/>
  <c r="M44" i="24" l="1"/>
  <c r="E21" i="24" l="1"/>
  <c r="E23" i="24" s="1"/>
  <c r="E150" i="24"/>
  <c r="E152" i="24" s="1"/>
  <c r="E149" i="24"/>
  <c r="N149" i="24" s="1"/>
  <c r="E20" i="24"/>
  <c r="N20" i="24" s="1"/>
  <c r="E17" i="24"/>
  <c r="N17" i="24" s="1"/>
  <c r="E14" i="24" l="1"/>
  <c r="E15" i="24"/>
  <c r="E151" i="24"/>
  <c r="N151" i="24" s="1"/>
  <c r="E22" i="24"/>
  <c r="N22" i="24" s="1"/>
  <c r="N14" i="24" l="1"/>
  <c r="M152" i="24"/>
  <c r="M23" i="24" l="1"/>
  <c r="N154" i="24" l="1"/>
  <c r="A1" i="16" l="1"/>
  <c r="L163" i="24" l="1"/>
  <c r="M154" i="24" l="1"/>
  <c r="L155" i="24"/>
  <c r="L156" i="24" l="1"/>
  <c r="L157" i="24" s="1"/>
  <c r="L158" i="24" s="1"/>
  <c r="L159" i="24" l="1"/>
  <c r="L160" i="24" s="1"/>
  <c r="L161" i="24" l="1"/>
  <c r="L162" i="24" s="1"/>
  <c r="L164" i="24" s="1"/>
  <c r="L165" i="24" l="1"/>
  <c r="L166" i="24" s="1"/>
  <c r="L168" i="24" s="1"/>
  <c r="D7" i="8" s="1"/>
  <c r="L6" i="24" l="1"/>
  <c r="A1" i="17" l="1"/>
  <c r="A3" i="8"/>
  <c r="G21" i="8" l="1"/>
  <c r="D10" i="8" l="1"/>
  <c r="D15" i="8" s="1"/>
</calcChain>
</file>

<file path=xl/sharedStrings.xml><?xml version="1.0" encoding="utf-8"?>
<sst xmlns="http://schemas.openxmlformats.org/spreadsheetml/2006/main" count="802" uniqueCount="293">
  <si>
    <t>##</t>
  </si>
  <si>
    <t>g/m</t>
  </si>
  <si>
    <t>gauTvaliswinebeli xarjebi</t>
  </si>
  <si>
    <t>dRg</t>
  </si>
  <si>
    <t>c</t>
  </si>
  <si>
    <t>SeniSvna</t>
  </si>
  <si>
    <t>kbm</t>
  </si>
  <si>
    <t>kvm</t>
  </si>
  <si>
    <t>kg</t>
  </si>
  <si>
    <t>tn</t>
  </si>
  <si>
    <t>sul</t>
  </si>
  <si>
    <t>lari</t>
  </si>
  <si>
    <t>ც</t>
  </si>
  <si>
    <t>Sromis danaxarjebi</t>
  </si>
  <si>
    <t>sxva manqanebi</t>
  </si>
  <si>
    <t>kac/sT</t>
  </si>
  <si>
    <t>manq/sT</t>
  </si>
  <si>
    <t>manqana-meqanizmebi</t>
  </si>
  <si>
    <t>sxva masala</t>
  </si>
  <si>
    <t xml:space="preserve">Sromis danaxarjebi </t>
  </si>
  <si>
    <t>manqanebi</t>
  </si>
  <si>
    <t>sxva masalebi</t>
  </si>
  <si>
    <t xml:space="preserve">Sromis danaxarjebi  </t>
  </si>
  <si>
    <t>5</t>
  </si>
  <si>
    <t>8</t>
  </si>
  <si>
    <t>gegmiuri dagroveba</t>
  </si>
  <si>
    <t>saxarjTaRricxvo gaangariSebis #</t>
  </si>
  <si>
    <t>samuSaoebisa da danaxarjebis dasaxeleba</t>
  </si>
  <si>
    <t>jami</t>
  </si>
  <si>
    <t>sul xarjTaRricxviT</t>
  </si>
  <si>
    <t>zednadebi xarjebi</t>
  </si>
  <si>
    <t>9</t>
  </si>
  <si>
    <t>kompl</t>
  </si>
  <si>
    <t>Sromis danaxarji</t>
  </si>
  <si>
    <t>saerTo samSeneblo samuSaoebi</t>
  </si>
  <si>
    <t>3</t>
  </si>
  <si>
    <t>cali</t>
  </si>
  <si>
    <t>m3</t>
  </si>
  <si>
    <t>cementis xsnari m-200</t>
  </si>
  <si>
    <t>samSeneblo nagvis datvirTva xeliT avtoTviTmclelze</t>
  </si>
  <si>
    <t>k/sT</t>
  </si>
  <si>
    <t>grZ.m.</t>
  </si>
  <si>
    <t>kg.</t>
  </si>
  <si>
    <t>ლარი</t>
  </si>
  <si>
    <t>სხვა მასალები</t>
  </si>
  <si>
    <t>გრძ.მ.</t>
  </si>
  <si>
    <t>SromiTi resursebi</t>
  </si>
  <si>
    <t>masala</t>
  </si>
  <si>
    <t>m/sT</t>
  </si>
  <si>
    <t>t</t>
  </si>
  <si>
    <r>
      <t>m</t>
    </r>
    <r>
      <rPr>
        <vertAlign val="superscript"/>
        <sz val="10"/>
        <rFont val="AcadNusx"/>
      </rPr>
      <t>3</t>
    </r>
  </si>
  <si>
    <t>18%</t>
  </si>
  <si>
    <t xml:space="preserve">teritoriis keTilmowyobis samuSaoebi               </t>
  </si>
  <si>
    <t>6</t>
  </si>
  <si>
    <t>ZviradRirebuli mowyobilobebi da danadgarebi</t>
  </si>
  <si>
    <t>sul danaxarjebi</t>
  </si>
  <si>
    <t>1</t>
  </si>
  <si>
    <t>2</t>
  </si>
  <si>
    <t>4</t>
  </si>
  <si>
    <t>7</t>
  </si>
  <si>
    <t>10</t>
  </si>
  <si>
    <t>11</t>
  </si>
  <si>
    <t>gauTvaliswinebeli xarjebi 3%</t>
  </si>
  <si>
    <t>dRg 18%</t>
  </si>
  <si>
    <t>dagrovebiTi sapensio gadasaxadi (xelfasidan)</t>
  </si>
  <si>
    <t>xelfasi</t>
  </si>
  <si>
    <t>zednadebi xarjebi                                   (muSa mosamsaxureTa ZiriTadi xelfasidan)</t>
  </si>
  <si>
    <t xml:space="preserve"> </t>
  </si>
  <si>
    <t>lk #2</t>
  </si>
  <si>
    <t>samSeneblo masalis transportirebis xrjebi  (samSeneblo masalis Rirebulebidan)</t>
  </si>
  <si>
    <t>27</t>
  </si>
  <si>
    <t>samSeneblo samuSaoebis damTavrebis Semdeg teritoriis dasufTaveba, samSeneblo narCenebis Segroveba, gamotana, avtoTviTmclelze dasatvirTavad</t>
  </si>
  <si>
    <t>sul xarjTaRricxva #1</t>
  </si>
  <si>
    <t>sul xarjTaRricxva #2</t>
  </si>
  <si>
    <t>lk #5-4</t>
  </si>
  <si>
    <t>lk #5-5</t>
  </si>
  <si>
    <t>lk #3</t>
  </si>
  <si>
    <t>lk #1</t>
  </si>
  <si>
    <t>dr+</t>
  </si>
  <si>
    <t>sul lk  #3</t>
  </si>
  <si>
    <t>sul lk  #2</t>
  </si>
  <si>
    <t>sul lk  #1</t>
  </si>
  <si>
    <t>krebsiTi xarjTaRricxva</t>
  </si>
  <si>
    <t>lokaluri ხ ა რ ჯ თ ა ღ რ ი ც ხ ვ ა #1</t>
  </si>
  <si>
    <t>lokaluri ხ ა რ ჯ თ ა ღ რ ი ც ხ ვ ა #2</t>
  </si>
  <si>
    <t>saxarjTaRricxvo Rirebuleba              (lari)</t>
  </si>
  <si>
    <t>samusaos dasaxeleba</t>
  </si>
  <si>
    <t>ganz. erTeuli</t>
  </si>
  <si>
    <r>
      <t xml:space="preserve">normatiuli resursi-- </t>
    </r>
    <r>
      <rPr>
        <b/>
        <sz val="11"/>
        <color theme="1"/>
        <rFont val="AcadNusx"/>
      </rPr>
      <t>raodenoba</t>
    </r>
  </si>
  <si>
    <t>xelfasi erTeul ganzomilebaze</t>
  </si>
  <si>
    <t>ganz. erT-ze</t>
  </si>
  <si>
    <t>erTeuli</t>
  </si>
  <si>
    <t xml:space="preserve">sul      </t>
  </si>
  <si>
    <t>Sedgenilia 2022 wlis II kvartlis doneze</t>
  </si>
  <si>
    <t>sul xarjTaRricxva  #1</t>
  </si>
  <si>
    <t xml:space="preserve">sul pirdapiri danaxarjebi  #1    </t>
  </si>
  <si>
    <t>sul xarjTaRricxva #3</t>
  </si>
  <si>
    <t>12</t>
  </si>
  <si>
    <t>antikoroziuli saRebavi</t>
  </si>
  <si>
    <t>II</t>
  </si>
  <si>
    <t>betoni b.25</t>
  </si>
  <si>
    <t>sul xarjTaRricxva   #1</t>
  </si>
  <si>
    <t>gruntis damuSaveba xeliT</t>
  </si>
  <si>
    <t>RorRi</t>
  </si>
  <si>
    <t>lokaluri ხ ა რ ჯ თ ა ღ რ ი ც ხ ვ ა #3</t>
  </si>
  <si>
    <t>mosamzadebeli samuSaoebi   teritoriis planireba</t>
  </si>
  <si>
    <t>teritoriis planireba (meqanizebuli wesiT da xeliT)</t>
  </si>
  <si>
    <t>1000kvm</t>
  </si>
  <si>
    <t>buldozeri 79kvm - 108cx.Z.</t>
  </si>
  <si>
    <t>teritoriis planireba xeliT</t>
  </si>
  <si>
    <t>22</t>
  </si>
  <si>
    <t>teritoriis dasufTaveba,  narCenebis Segroveba, gamotana, avtoTviTmclelze dasatvirTavad</t>
  </si>
  <si>
    <t>narCenebisa da nagavis datvirTva xeliT avtoTviTmclelze</t>
  </si>
  <si>
    <r>
      <t>m</t>
    </r>
    <r>
      <rPr>
        <b/>
        <vertAlign val="superscript"/>
        <sz val="10"/>
        <rFont val="AcadNusx"/>
      </rPr>
      <t>3</t>
    </r>
  </si>
  <si>
    <t xml:space="preserve">SromiTi resursebi                                                </t>
  </si>
  <si>
    <t xml:space="preserve">kac/sT                                                               </t>
  </si>
  <si>
    <t>xe masala</t>
  </si>
  <si>
    <t>gruntis ukuCayra</t>
  </si>
  <si>
    <t>zedmeti gruntis datvirTva xeliT avtoTviTmclelze</t>
  </si>
  <si>
    <t>olifa</t>
  </si>
  <si>
    <t>amwe - kranis momsaxureoba 10t</t>
  </si>
  <si>
    <t>liTonis konstruqcia samontaJo</t>
  </si>
  <si>
    <t>liTonis konstruqciebis SeRebva antikoroziuli saRebaviT</t>
  </si>
  <si>
    <t>კაც/სთ</t>
  </si>
  <si>
    <t>RorRis (0-5mm fraqciis) fenilis mowyoba, sisqiT 10sm</t>
  </si>
  <si>
    <t>RorRi  (0-5mm fraqciis)</t>
  </si>
  <si>
    <t xml:space="preserve">betoni b.25 </t>
  </si>
  <si>
    <t>armatura Ф6 АIII b.150</t>
  </si>
  <si>
    <t>tranSeas mowyoba bordiuris  mosawyobad xeliT</t>
  </si>
  <si>
    <t>RorRis (0-5mm fraqciis) fenilis mowyoba bordiuris qveS</t>
  </si>
  <si>
    <t xml:space="preserve">betoni b-15  </t>
  </si>
  <si>
    <t>qviSa-cementis xsnari  m.100</t>
  </si>
  <si>
    <t xml:space="preserve">gatana 20 km-ze </t>
  </si>
  <si>
    <t>wert</t>
  </si>
  <si>
    <t>gruntis ukumiyra xeliT</t>
  </si>
  <si>
    <t>zedmeti gruntis transportireba 20km manZilze da gatana</t>
  </si>
  <si>
    <t>sportuli moednis mimdebare teritoriaze skveris mowyoba</t>
  </si>
  <si>
    <t xml:space="preserve">samSeneblo nagvis gatana 20 km-ze </t>
  </si>
  <si>
    <t>zedmeti gruntis transportireba 10km manZilze da gatana</t>
  </si>
  <si>
    <t xml:space="preserve">kauCukis bordiuris montaJi  </t>
  </si>
  <si>
    <t xml:space="preserve">kauCukis bordiuris montaJi </t>
  </si>
  <si>
    <t xml:space="preserve">kauCukis bordiuri </t>
  </si>
  <si>
    <t>avtogreideri sas tiopis 79kvt(108cx.Z.)</t>
  </si>
  <si>
    <t>RorRis safuZvlis mowyoba liTonis moajiris rk.betonis  cokolis qveS</t>
  </si>
  <si>
    <t xml:space="preserve">RorRi </t>
  </si>
  <si>
    <t xml:space="preserve">dekoratiuli Robis qveS rk/betonis cokolis mowyoba </t>
  </si>
  <si>
    <t>yalibis fari</t>
  </si>
  <si>
    <r>
      <t>armatura</t>
    </r>
    <r>
      <rPr>
        <sz val="11"/>
        <color rgb="FFFF0000"/>
        <rFont val="Arial"/>
        <family val="2"/>
        <charset val="204"/>
      </rPr>
      <t xml:space="preserve"> ф8 A</t>
    </r>
    <r>
      <rPr>
        <sz val="11"/>
        <color rgb="FFFF0000"/>
        <rFont val="AcadNusx"/>
      </rPr>
      <t xml:space="preserve">-III </t>
    </r>
  </si>
  <si>
    <t>proeqtiT</t>
  </si>
  <si>
    <r>
      <t xml:space="preserve">liTonis moajiris mowyoba - rk.betonis kedelze Caankereba </t>
    </r>
    <r>
      <rPr>
        <sz val="11"/>
        <rFont val="AcadNusx"/>
      </rPr>
      <t>(moc eskiozis mixedviT)</t>
    </r>
  </si>
  <si>
    <r>
      <t xml:space="preserve">betoni </t>
    </r>
    <r>
      <rPr>
        <sz val="11"/>
        <rFont val="Arial"/>
        <family val="2"/>
        <charset val="204"/>
      </rPr>
      <t>B10</t>
    </r>
  </si>
  <si>
    <r>
      <t xml:space="preserve">liTonis dekoratiuli moajiri </t>
    </r>
    <r>
      <rPr>
        <sz val="11"/>
        <color rgb="FFFF0000"/>
        <rFont val="Calibri"/>
        <family val="2"/>
        <charset val="204"/>
        <scheme val="minor"/>
      </rPr>
      <t>h</t>
    </r>
    <r>
      <rPr>
        <sz val="11"/>
        <color rgb="FFFF0000"/>
        <rFont val="AcadNusx"/>
      </rPr>
      <t>=1,00m</t>
    </r>
  </si>
  <si>
    <t xml:space="preserve">liTonis WiSkris damzadeba da montaJi </t>
  </si>
  <si>
    <t>samSeneblo qanCi WanWikiT</t>
  </si>
  <si>
    <t>tona</t>
  </si>
  <si>
    <t>eleqtrodi d=4mm</t>
  </si>
  <si>
    <t>betonis cokolis Sida da gare zedapiris mopirkeTeba bazaltis filiT (25-30mm sisqis)</t>
  </si>
  <si>
    <t>bazaltis fila 25-30mm sisqis</t>
  </si>
  <si>
    <t>dekoratiuli liTonis SemoRobvis mowyoba</t>
  </si>
  <si>
    <t>sabavSvo atraqcionebis sivrcis mowyoba</t>
  </si>
  <si>
    <t>kauCukis safariani rk.betonis filis mowyoba</t>
  </si>
  <si>
    <t>rk.betonis fenilis mosawyobad qvabulis damuSaveba xeliT</t>
  </si>
  <si>
    <t>RorRis fenilis mowyoba rk.betonis filis qveS  10sm sisqis</t>
  </si>
  <si>
    <t>monoliTuri rk/betonis  filis mowyoba  12sm sisqis</t>
  </si>
  <si>
    <t xml:space="preserve"> kbm</t>
  </si>
  <si>
    <t>kauCukis masiuri fenilis mowyoba sisqiT 25mm</t>
  </si>
  <si>
    <t>webopva kauCukis</t>
  </si>
  <si>
    <t>კგ</t>
  </si>
  <si>
    <r>
      <rPr>
        <b/>
        <i/>
        <sz val="11"/>
        <rFont val="Calibri"/>
        <family val="2"/>
        <charset val="204"/>
        <scheme val="minor"/>
      </rPr>
      <t>(RAL 5012)=</t>
    </r>
    <r>
      <rPr>
        <b/>
        <i/>
        <sz val="11"/>
        <rFont val="AcadNusx"/>
      </rPr>
      <t xml:space="preserve">kvm                                                                                       </t>
    </r>
    <r>
      <rPr>
        <b/>
        <i/>
        <sz val="11"/>
        <rFont val="Calibri"/>
        <family val="2"/>
        <charset val="204"/>
        <scheme val="minor"/>
      </rPr>
      <t>(RAL 1026)=</t>
    </r>
    <r>
      <rPr>
        <b/>
        <i/>
        <sz val="11"/>
        <rFont val="AcadNusx"/>
      </rPr>
      <t>kvm</t>
    </r>
  </si>
  <si>
    <t>kauCukis masiuri fenili 20-25mm</t>
  </si>
  <si>
    <t>gamwvaneba - gazonis mowyoba</t>
  </si>
  <si>
    <t>damatebiTi gruntisGgaSla skveris teritoriaze</t>
  </si>
  <si>
    <t>teritoriaze balaxis daTesva                                    (5 komponentiani balaxi)</t>
  </si>
  <si>
    <t>rulonuri gazoni 5 komponentiani</t>
  </si>
  <si>
    <t>mravalwlovani mcenareebis dargva</t>
  </si>
  <si>
    <t>damatebiTi noyieri gruntis Semotana skveris teritoriaze 20km manZilidan</t>
  </si>
  <si>
    <r>
      <t xml:space="preserve">პრიალა ძახველი </t>
    </r>
    <r>
      <rPr>
        <b/>
        <sz val="11"/>
        <color theme="1"/>
        <rFont val="Calibri"/>
        <family val="2"/>
        <scheme val="minor"/>
      </rPr>
      <t>(„Viburnum lucidum“)</t>
    </r>
    <r>
      <rPr>
        <b/>
        <sz val="11"/>
        <color theme="1"/>
        <rFont val="AcadNusx"/>
      </rPr>
      <t xml:space="preserve"> - არანაკლებ 6 თანაბრად განვითარებული ღერო, რომლებიც ყველა მხრიდან უნდა იყოს სიმეტრიულად განვითარებული  </t>
    </r>
    <r>
      <rPr>
        <b/>
        <sz val="11"/>
        <color theme="1"/>
        <rFont val="Calibri"/>
        <family val="2"/>
        <scheme val="minor"/>
      </rPr>
      <t>clt - 35</t>
    </r>
    <r>
      <rPr>
        <b/>
        <sz val="11"/>
        <color theme="1"/>
        <rFont val="AcadNusx"/>
      </rPr>
      <t>,</t>
    </r>
    <r>
      <rPr>
        <b/>
        <sz val="11"/>
        <color theme="1"/>
        <rFont val="Calibri"/>
        <family val="2"/>
        <scheme val="minor"/>
      </rPr>
      <t xml:space="preserve"> Ø </t>
    </r>
    <r>
      <rPr>
        <b/>
        <sz val="11"/>
        <color theme="1"/>
        <rFont val="AcadNusx"/>
      </rPr>
      <t>არანაკლებ 100sm</t>
    </r>
  </si>
  <si>
    <t>xeebisa da buCqebis dasargavi teritoriss momzadeba xeliT</t>
  </si>
  <si>
    <t>xeebisa da buCqebis dargva</t>
  </si>
  <si>
    <t>mosarwyav mosdarecxi 600 l</t>
  </si>
  <si>
    <t>amwe  saavtomobilo svlaze 5t</t>
  </si>
  <si>
    <t>xeebi da buCqebi</t>
  </si>
  <si>
    <t>4,1</t>
  </si>
  <si>
    <t>4,2</t>
  </si>
  <si>
    <r>
      <t xml:space="preserve">წვრილფოთოლა იფანი (კულტივარი </t>
    </r>
    <r>
      <rPr>
        <b/>
        <sz val="11"/>
        <color theme="1"/>
        <rFont val="Calibri"/>
        <family val="2"/>
        <scheme val="minor"/>
      </rPr>
      <t>"Raywood'</t>
    </r>
    <r>
      <rPr>
        <b/>
        <sz val="11"/>
        <color theme="1"/>
        <rFont val="AcadNusx"/>
      </rPr>
      <t>) (</t>
    </r>
    <r>
      <rPr>
        <b/>
        <sz val="11"/>
        <color theme="1"/>
        <rFont val="Calibri"/>
        <family val="2"/>
        <scheme val="minor"/>
      </rPr>
      <t>Fraxinus angustifolia 'Raywood'</t>
    </r>
    <r>
      <rPr>
        <b/>
        <sz val="11"/>
        <color theme="1"/>
        <rFont val="AcadNusx"/>
      </rPr>
      <t>) - სიმაღლე არანაკლებ 4.0მ.; მთავარი ღერო სწორი ფორმის. ღეროს გარშემოწერილობა (circ) არანაკლებ 0.2მ ფესვის ყელიდან 1მ სიმაღლეზე. ვარჯის დიამტრი არანაკლებ 0.7მ. ვარჯის განტოტვა უნდა იწყებოდეს მცენარის ფესვის ყელიდან არანაკლებ 1.80მ სიმაღლეზე. ვარჯს უნდა გააჩნდეს არანაკლებ 6 თანაბრად განვითარებული ტოტი, რომლებიც ყველა მხრიდან უნდა იყოს სიმეტრიულად განვითარებული.</t>
    </r>
  </si>
  <si>
    <t>gruntis damuSaveba xeliT, dekoratiuli liTonis moajiris rk.betonis saZirkvlis mosawyobad</t>
  </si>
  <si>
    <t>I samSeneblo samuSaoebi</t>
  </si>
  <si>
    <t xml:space="preserve">გარე განათების ლამპიონების მონტაჟი  </t>
  </si>
  <si>
    <t>kabelis montaJi gruntSi</t>
  </si>
  <si>
    <t>შრომითი რესურსები</t>
  </si>
  <si>
    <t>ქვიშის საფარის მოწყობა მილებისთვის</t>
  </si>
  <si>
    <t>კუბ.მ</t>
  </si>
  <si>
    <t xml:space="preserve">ქვიSა </t>
  </si>
  <si>
    <r>
      <t xml:space="preserve">PVC </t>
    </r>
    <r>
      <rPr>
        <b/>
        <sz val="11"/>
        <rFont val="AcadNusx"/>
      </rPr>
      <t>gofrirebuli miwisqveSa Cadebis narinjisferi sakabelo milis montaJi</t>
    </r>
  </si>
  <si>
    <t>გრძ/მ</t>
  </si>
  <si>
    <t>მანქანები</t>
  </si>
  <si>
    <r>
      <rPr>
        <sz val="11"/>
        <rFont val="Calibri"/>
        <family val="2"/>
        <charset val="204"/>
      </rPr>
      <t xml:space="preserve">PVC </t>
    </r>
    <r>
      <rPr>
        <sz val="11"/>
        <rFont val="AcadNusx"/>
      </rPr>
      <t>gofrirebuli miwisqveSa Cadebis narinjisferi sakabelo mil</t>
    </r>
    <r>
      <rPr>
        <sz val="11"/>
        <rFont val="Calibri"/>
        <family val="2"/>
        <charset val="204"/>
      </rPr>
      <t>i</t>
    </r>
    <r>
      <rPr>
        <sz val="11"/>
        <rFont val="AcadNusx"/>
      </rPr>
      <t xml:space="preserve"> </t>
    </r>
    <r>
      <rPr>
        <sz val="11"/>
        <rFont val="Calibri"/>
        <family val="2"/>
        <charset val="204"/>
      </rPr>
      <t>Ø20მმ</t>
    </r>
  </si>
  <si>
    <r>
      <rPr>
        <sz val="11"/>
        <rFont val="Calibri"/>
        <family val="2"/>
        <charset val="204"/>
      </rPr>
      <t xml:space="preserve">PVC </t>
    </r>
    <r>
      <rPr>
        <sz val="11"/>
        <rFont val="AcadNusx"/>
      </rPr>
      <t>gofrirebuli miwisqveSa Cadebis narinjisferi sakabelo mil</t>
    </r>
    <r>
      <rPr>
        <sz val="11"/>
        <rFont val="Calibri"/>
        <family val="2"/>
        <charset val="204"/>
      </rPr>
      <t>i</t>
    </r>
    <r>
      <rPr>
        <sz val="11"/>
        <rFont val="AcadNusx"/>
      </rPr>
      <t xml:space="preserve"> </t>
    </r>
    <r>
      <rPr>
        <sz val="11"/>
        <rFont val="Calibri"/>
        <family val="2"/>
        <charset val="204"/>
      </rPr>
      <t>Ø25მმ</t>
    </r>
  </si>
  <si>
    <t>სხვა მასალა</t>
  </si>
  <si>
    <t>სასიგნალო ლენტი</t>
  </si>
  <si>
    <t>qvabulis mowyoba anZis montajisaTvis</t>
  </si>
  <si>
    <t>განათების ანძების დაბეტონება</t>
  </si>
  <si>
    <t xml:space="preserve">ბეტონი ბ.25 </t>
  </si>
  <si>
    <t>არმატურა Ф8 АIII ბ.150</t>
  </si>
  <si>
    <t>ტნ</t>
  </si>
  <si>
    <t xml:space="preserve">სხვა მასალა </t>
  </si>
  <si>
    <t>II samontaJo samuSaoebi</t>
  </si>
  <si>
    <t>სკვერის გარე განათების დეკორატიული sanatebis მონტაჟი</t>
  </si>
  <si>
    <t>სპილენძის სადენების montaJi</t>
  </si>
  <si>
    <r>
      <t xml:space="preserve">sadeni sp. ZarRviT  </t>
    </r>
    <r>
      <rPr>
        <sz val="11"/>
        <rFont val="Calibri"/>
        <family val="2"/>
        <charset val="204"/>
        <scheme val="minor"/>
      </rPr>
      <t>NYY 3*2,5</t>
    </r>
  </si>
  <si>
    <r>
      <t xml:space="preserve">sadeni sp. ZarRviT  </t>
    </r>
    <r>
      <rPr>
        <sz val="11"/>
        <rFont val="Calibri"/>
        <family val="2"/>
        <charset val="204"/>
        <scheme val="minor"/>
      </rPr>
      <t>NYY 3*4</t>
    </r>
  </si>
  <si>
    <t>sul  #2</t>
  </si>
  <si>
    <t xml:space="preserve">gegmiuri dagroveba </t>
  </si>
  <si>
    <t>sul xarjTaRricxva   #2</t>
  </si>
  <si>
    <t xml:space="preserve">kg </t>
  </si>
  <si>
    <t>lkac/sT</t>
  </si>
  <si>
    <t>inventaris SeZena montaji</t>
  </si>
  <si>
    <t>skveri</t>
  </si>
  <si>
    <t>atraqcionebi</t>
  </si>
  <si>
    <r>
      <rPr>
        <b/>
        <sz val="11"/>
        <rFont val="AcadNusx"/>
      </rPr>
      <t>atraqcioni</t>
    </r>
    <r>
      <rPr>
        <b/>
        <sz val="11"/>
        <rFont val="Calibri"/>
        <family val="2"/>
        <charset val="204"/>
        <scheme val="minor"/>
      </rPr>
      <t xml:space="preserve"> EX AS-06</t>
    </r>
    <r>
      <rPr>
        <sz val="11"/>
        <rFont val="Calibri"/>
        <family val="2"/>
        <charset val="204"/>
        <scheme val="minor"/>
      </rPr>
      <t xml:space="preserve"> </t>
    </r>
    <r>
      <rPr>
        <sz val="11"/>
        <rFont val="AcadNusx"/>
      </rPr>
      <t xml:space="preserve">-kibiT, sami CamosasrialebliT (ori swori  erTi daxveuli) erTi koSkiT, xidiT, or adgiliani saqaneliT (qarxnuli warmoebi, liTonis karkasiT)  (ix. proeqti)  </t>
    </r>
  </si>
  <si>
    <r>
      <t xml:space="preserve">"aiwona-daiwona" erT adgiliani  </t>
    </r>
    <r>
      <rPr>
        <sz val="11"/>
        <rFont val="AcadNusx"/>
      </rPr>
      <t>(qarxnuli warmoebis, liTonis karkasiT)  (ix. proeqti)</t>
    </r>
  </si>
  <si>
    <r>
      <t xml:space="preserve">atraqcioni zambara </t>
    </r>
    <r>
      <rPr>
        <sz val="11"/>
        <rFont val="AcadNusx"/>
      </rPr>
      <t>(qarxnuli warmoebis, liTonis karkasiT)  (ix. proeqti)</t>
    </r>
  </si>
  <si>
    <r>
      <t xml:space="preserve">saqanela  or adgiliani  </t>
    </r>
    <r>
      <rPr>
        <sz val="11"/>
        <rFont val="AcadNusx"/>
      </rPr>
      <t>(qarxnuli warmoebis, liTonis karkasiT)  (ix. proeqti)</t>
    </r>
  </si>
  <si>
    <t>urnebi #1 SeZena montaJi</t>
  </si>
  <si>
    <t xml:space="preserve">wylis dasalevi fantani </t>
  </si>
  <si>
    <t>skami #1  SeZena montaJi</t>
  </si>
  <si>
    <r>
      <t xml:space="preserve">atraqcioni bzriala </t>
    </r>
    <r>
      <rPr>
        <sz val="11"/>
        <rFont val="AcadNusx"/>
      </rPr>
      <t>(qarxnuli warmoebis, liTonis karkasiT)  (ix. proeqti)</t>
    </r>
  </si>
  <si>
    <t>sul xarjTaRricxva #4</t>
  </si>
  <si>
    <t>sul pirdapiri danaxarjebi #4</t>
  </si>
  <si>
    <t>inventaris, danadgarebi, mowyobilobebi</t>
  </si>
  <si>
    <t>lk #4</t>
  </si>
  <si>
    <t>lokaluri ხ ა რ ჯ თ ა ღ რ ი ც ხ ვ ა #4</t>
  </si>
  <si>
    <t>wy pl milebis montaJi</t>
  </si>
  <si>
    <t xml:space="preserve">wyalsadenis pl milis qveS qviSis safaris mowyoba  </t>
  </si>
  <si>
    <t>qviSa Savi</t>
  </si>
  <si>
    <t>ცივი წყლისათვის პლასტმასის მილების მოntaJi d-25</t>
  </si>
  <si>
    <t>შრომის დანახარჯი</t>
  </si>
  <si>
    <r>
      <t>მილი</t>
    </r>
    <r>
      <rPr>
        <sz val="11"/>
        <rFont val="Calibri"/>
        <family val="2"/>
        <charset val="204"/>
      </rPr>
      <t xml:space="preserve">  SDR 17  25</t>
    </r>
    <r>
      <rPr>
        <sz val="11"/>
        <rFont val="AcadNusx"/>
      </rPr>
      <t xml:space="preserve">mm </t>
    </r>
  </si>
  <si>
    <t>მ</t>
  </si>
  <si>
    <t>სფერული ვენტილის მონტაჟი</t>
  </si>
  <si>
    <t>სხვა მანქანები</t>
  </si>
  <si>
    <t>სფერული ვენტილი დ= 25 მმ</t>
  </si>
  <si>
    <t>swrafi mierTebis kvanZi -StuceriT  d-15 SlangiT (20m)</t>
  </si>
  <si>
    <t xml:space="preserve">fasonuri nawilebi </t>
  </si>
  <si>
    <t xml:space="preserve">sxva manqana  </t>
  </si>
  <si>
    <r>
      <t xml:space="preserve">wyalsadenis arsebul qselSi SeWra </t>
    </r>
    <r>
      <rPr>
        <sz val="11"/>
        <rFont val="AcadNusx"/>
      </rPr>
      <t>(makompleqtebeli nawilebiT)</t>
    </r>
  </si>
  <si>
    <t>fasonuri nawilebi</t>
  </si>
  <si>
    <t xml:space="preserve">kanalizaciis gare qseli                                                                                                            (d-100 pl)                      </t>
  </si>
  <si>
    <t xml:space="preserve">tranSeas mowyoba xeliT milebis montaJisaTvis </t>
  </si>
  <si>
    <r>
      <t xml:space="preserve">qviSis safaris mowyoba milis irgvliv </t>
    </r>
    <r>
      <rPr>
        <sz val="11"/>
        <rFont val="Arial"/>
        <family val="2"/>
        <charset val="204"/>
      </rPr>
      <t>(H=30</t>
    </r>
    <r>
      <rPr>
        <sz val="11"/>
        <rFont val="AcadNusx"/>
      </rPr>
      <t>sm</t>
    </r>
    <r>
      <rPr>
        <sz val="11"/>
        <rFont val="Arial"/>
        <family val="2"/>
        <charset val="204"/>
      </rPr>
      <t>.)</t>
    </r>
  </si>
  <si>
    <r>
      <t xml:space="preserve">kanalizaciis pl milis montaJi TxrilSi </t>
    </r>
    <r>
      <rPr>
        <b/>
        <sz val="11"/>
        <rFont val="Arial"/>
        <family val="2"/>
        <charset val="204"/>
      </rPr>
      <t>Ø</t>
    </r>
    <r>
      <rPr>
        <b/>
        <sz val="11"/>
        <rFont val="AcadNusx"/>
      </rPr>
      <t>100mm</t>
    </r>
  </si>
  <si>
    <r>
      <t xml:space="preserve">plastmasis mili </t>
    </r>
    <r>
      <rPr>
        <sz val="11"/>
        <rFont val="Calibri"/>
        <family val="2"/>
        <charset val="204"/>
      </rPr>
      <t>Ø</t>
    </r>
    <r>
      <rPr>
        <sz val="11"/>
        <rFont val="AcadNusx"/>
      </rPr>
      <t>100*3,2mm</t>
    </r>
  </si>
  <si>
    <t>arsebul kanalizaciis qselSi SeWra (makompleqtebeli nawilebiT)</t>
  </si>
  <si>
    <t>SeWra</t>
  </si>
  <si>
    <t>betoni ბ.10</t>
  </si>
  <si>
    <t>gazinTuli ZenZi</t>
  </si>
  <si>
    <t xml:space="preserve">sul pirdapiri danaxarjebi </t>
  </si>
  <si>
    <t>sul xarjTaRricxva   #3</t>
  </si>
  <si>
    <t>gare eleqtro montaJis samuSaoebi</t>
  </si>
  <si>
    <t>skverisa da xelovnursafarisni sportuli moednis  gare ganaTebis eleqtro montaJi</t>
  </si>
  <si>
    <t xml:space="preserve">sul pirdapiri danaxarjebi  II Tavi    </t>
  </si>
  <si>
    <t>sul I Tavi</t>
  </si>
  <si>
    <t>sul pirdapiri danaxarjebi I Tavi</t>
  </si>
  <si>
    <t>sul II Tavi</t>
  </si>
  <si>
    <t>gare wyalsadenisa da kanalizaciis qselis montaJi</t>
  </si>
  <si>
    <r>
      <t xml:space="preserve">gare wyalsadenisa da kanalizaciis qselis montaJis samuSaoebi -- </t>
    </r>
    <r>
      <rPr>
        <b/>
        <sz val="11"/>
        <rFont val="AcadNusx"/>
      </rPr>
      <t xml:space="preserve">                                                                                                                     skverSi sasmeli wylis biuvetis wyalsadenisa da kanalizaciis qselis montaJi</t>
    </r>
  </si>
  <si>
    <t>skverSi sasmeli wylis biuvetis wyalsadenisa da kanalizaciis qselis montaJi</t>
  </si>
  <si>
    <t>zednadebi xarjebi                                                                                                     (muSa mosamsaxureTa ZiriTadi xelfasidan)</t>
  </si>
  <si>
    <t>sul lk  #4</t>
  </si>
  <si>
    <t>milis gadamyvani d-100</t>
  </si>
  <si>
    <r>
      <t xml:space="preserve">dioduri naTebis dekoratiuli lampioni </t>
    </r>
    <r>
      <rPr>
        <b/>
        <sz val="11"/>
        <rFont val="Calibri"/>
        <family val="2"/>
        <charset val="204"/>
        <scheme val="minor"/>
      </rPr>
      <t xml:space="preserve"> LED 250v 50vat  IP 66</t>
    </r>
  </si>
  <si>
    <t>sakabelo Txrilis mowyoba eqskavatoriT</t>
  </si>
  <si>
    <t>eqskavatori 0,25kbm CamCiT</t>
  </si>
  <si>
    <t>sakabelo Txrilis mowyoba xeliT</t>
  </si>
  <si>
    <r>
      <rPr>
        <sz val="11"/>
        <rFont val="Calibri"/>
        <family val="2"/>
        <charset val="204"/>
      </rPr>
      <t xml:space="preserve">PVC </t>
    </r>
    <r>
      <rPr>
        <sz val="11"/>
        <rFont val="AcadNusx"/>
      </rPr>
      <t>gofrirebuli miwisqveSa Cadebis narinjisferi sakabelo mil</t>
    </r>
    <r>
      <rPr>
        <sz val="11"/>
        <rFont val="Calibri"/>
        <family val="2"/>
        <charset val="204"/>
      </rPr>
      <t>i</t>
    </r>
    <r>
      <rPr>
        <sz val="11"/>
        <rFont val="AcadNusx"/>
      </rPr>
      <t xml:space="preserve"> </t>
    </r>
    <r>
      <rPr>
        <sz val="11"/>
        <rFont val="Calibri"/>
        <family val="2"/>
        <charset val="204"/>
      </rPr>
      <t>Ø32მმ</t>
    </r>
  </si>
  <si>
    <t>gruntis ukuCayra eqskavatoriT da mosworeba</t>
  </si>
  <si>
    <t>gruntis ukuCayra xeliT da mosworeba</t>
  </si>
  <si>
    <t>kabelis dagfarva sasignalo lentiT</t>
  </si>
  <si>
    <t>zedmeti gruntis datvirTva eqskavatoriT avtoTviTmclelze</t>
  </si>
  <si>
    <t>eqskavatori 0,5kbm CamCiT</t>
  </si>
  <si>
    <r>
      <t xml:space="preserve">sadeni sp. ZarRviT  </t>
    </r>
    <r>
      <rPr>
        <sz val="11"/>
        <rFont val="Calibri"/>
        <family val="2"/>
        <charset val="204"/>
        <scheme val="minor"/>
      </rPr>
      <t>NYY 3*1,5</t>
    </r>
  </si>
  <si>
    <t>masalis transportirebis xarjebi                                                     (inventaris Rirebulebidan)</t>
  </si>
  <si>
    <r>
      <t xml:space="preserve">dioduri naTebis dekoratiuli lampioni </t>
    </r>
    <r>
      <rPr>
        <b/>
        <sz val="11"/>
        <rFont val="Calibri"/>
        <family val="2"/>
        <charset val="204"/>
        <scheme val="minor"/>
      </rPr>
      <t xml:space="preserve"> LED 250v 50vat  IP 66</t>
    </r>
    <r>
      <rPr>
        <b/>
        <sz val="11"/>
        <rFont val="AcadNusx"/>
      </rPr>
      <t xml:space="preserve">   (anZa da sanaTi)</t>
    </r>
  </si>
  <si>
    <r>
      <t xml:space="preserve">liTonis WiSkari (aqsesuarebiT)  </t>
    </r>
    <r>
      <rPr>
        <sz val="11"/>
        <color rgb="FFFF0000"/>
        <rFont val="Calibri"/>
        <family val="2"/>
        <charset val="204"/>
        <scheme val="minor"/>
      </rPr>
      <t>h</t>
    </r>
    <r>
      <rPr>
        <sz val="11"/>
        <color rgb="FFFF0000"/>
        <rFont val="AcadNusx"/>
      </rPr>
      <t xml:space="preserve">=1,0m * </t>
    </r>
    <r>
      <rPr>
        <sz val="11"/>
        <color rgb="FFFF0000"/>
        <rFont val="Calibri"/>
        <family val="2"/>
        <charset val="204"/>
        <scheme val="minor"/>
      </rPr>
      <t>L</t>
    </r>
    <r>
      <rPr>
        <sz val="11"/>
        <color rgb="FFFF0000"/>
        <rFont val="AcadNusx"/>
      </rPr>
      <t>=1,0</t>
    </r>
  </si>
  <si>
    <r>
      <t xml:space="preserve">ბურთის ფორმის ოლენადრი </t>
    </r>
    <r>
      <rPr>
        <b/>
        <sz val="11"/>
        <color theme="1"/>
        <rFont val="Calibri"/>
        <family val="2"/>
        <scheme val="minor"/>
      </rPr>
      <t>(„Nerium oleander“)</t>
    </r>
    <r>
      <rPr>
        <b/>
        <sz val="11"/>
        <color theme="1"/>
        <rFont val="AcadNusx"/>
      </rPr>
      <t xml:space="preserve"> - ყველა მხრიდან სიმეტრიულად განვითარებული.</t>
    </r>
  </si>
  <si>
    <t>wyali</t>
  </si>
  <si>
    <t>dmanisis municipalitetis sofel zemo orozmanSi skveris mowyobis samuSaoebi</t>
  </si>
  <si>
    <r>
      <rPr>
        <b/>
        <sz val="11"/>
        <color rgb="FF0000FF"/>
        <rFont val="AcadNusx"/>
      </rPr>
      <t>gare eleqtro montaJis samuSaoebi ---</t>
    </r>
    <r>
      <rPr>
        <b/>
        <sz val="11"/>
        <color theme="1"/>
        <rFont val="AcadNusx"/>
      </rPr>
      <t xml:space="preserve">                                         skveris gare eleqtro montaji</t>
    </r>
  </si>
  <si>
    <t>სკვერის განათების ანძების დაბეტონება (dekoratiuli lampionisა</t>
  </si>
  <si>
    <r>
      <rPr>
        <b/>
        <sz val="11"/>
        <color rgb="FF0000FF"/>
        <rFont val="AcadNusx"/>
      </rPr>
      <t>საერთო სამშენებლო სამუშაოები ---</t>
    </r>
    <r>
      <rPr>
        <b/>
        <sz val="11"/>
        <color theme="1"/>
        <rFont val="AcadNusx"/>
      </rPr>
      <t xml:space="preserve">                                         skveris gare eleqtro montaji</t>
    </r>
  </si>
  <si>
    <r>
      <t xml:space="preserve">inventari, danadgarebi, mowyobilobebi  ---   </t>
    </r>
    <r>
      <rPr>
        <b/>
        <sz val="11"/>
        <rFont val="AcadNusx"/>
      </rPr>
      <t xml:space="preserve"> skveris inventaris SeZena montaji</t>
    </r>
  </si>
  <si>
    <t>skverisa mowyoba</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</si>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</sst>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 _₽_-;\-* #,##0.00\ _₽_-;_-* &quot;-&quot;??\ _₽_-;_-@_-"/>
    <numFmt numFmtId="165" formatCode="_-* #,##0.00\ _₾_-;\-* #,##0.00\ _₾_-;_-* &quot;-&quot;??\ _₾_-;_-@_-"/>
    <numFmt numFmtId="166" formatCode="_-* #,##0.00\ _L_a_r_i_-;\-* #,##0.00\ _L_a_r_i_-;_-* &quot;-&quot;??\ _L_a_r_i_-;_-@_-"/>
    <numFmt numFmtId="167" formatCode="_-* #,##0.00_-;\-* #,##0.00_-;_-* &quot;-&quot;??_-;_-@_-"/>
    <numFmt numFmtId="168" formatCode="0.0"/>
    <numFmt numFmtId="169" formatCode="0.000"/>
    <numFmt numFmtId="170" formatCode="_-* #,##0.00_р_._-;\-* #,##0.00_р_._-;_-* &quot;-&quot;??_р_._-;_-@_-"/>
    <numFmt numFmtId="171" formatCode="_-* #,##0.000_-;\-* #,##0.000_-;_-* &quot;-&quot;??_-;_-@_-"/>
    <numFmt numFmtId="172" formatCode="_-* #,##0.0000_-;\-* #,##0.0000_-;_-* &quot;-&quot;??_-;_-@_-"/>
    <numFmt numFmtId="173" formatCode="0.00000000"/>
  </numFmts>
  <fonts count="117">
    <font>
      <sz val="11"/>
      <color theme="1"/>
      <name val="Calibri"/>
      <family val="2"/>
      <charset val="204"/>
      <scheme val="minor"/>
    </font>
    <font>
      <sz val="11"/>
      <color theme="1"/>
      <name val="Calibri"/>
      <family val="2"/>
      <charset val="1"/>
      <scheme val="minor"/>
    </font>
    <font>
      <sz val="11"/>
      <color theme="1"/>
      <name val="Calibri"/>
      <family val="2"/>
      <charset val="1"/>
      <scheme val="minor"/>
    </font>
    <font>
      <b/>
      <sz val="12"/>
      <color theme="1"/>
      <name val="AcadNusx"/>
    </font>
    <font>
      <sz val="12"/>
      <color theme="1"/>
      <name val="AcadNusx"/>
    </font>
    <font>
      <sz val="12"/>
      <name val="AcadNusx"/>
    </font>
    <font>
      <sz val="10"/>
      <color theme="1"/>
      <name val="AcadNusx"/>
    </font>
    <font>
      <sz val="10"/>
      <name val="AcadNusx"/>
    </font>
    <font>
      <b/>
      <sz val="12"/>
      <name val="AcadNusx"/>
    </font>
    <font>
      <b/>
      <sz val="11"/>
      <color theme="1"/>
      <name val="AcadMtavr"/>
    </font>
    <font>
      <sz val="11"/>
      <color theme="1"/>
      <name val="Calibri"/>
      <family val="2"/>
      <charset val="204"/>
      <scheme val="minor"/>
    </font>
    <font>
      <sz val="10"/>
      <name val="Arial"/>
      <family val="2"/>
    </font>
    <font>
      <sz val="11"/>
      <name val="AcadNusx"/>
    </font>
    <font>
      <sz val="11"/>
      <color theme="1"/>
      <name val="AcadNusx"/>
    </font>
    <font>
      <b/>
      <sz val="11"/>
      <color theme="1"/>
      <name val="AcadNusx"/>
    </font>
    <font>
      <sz val="11"/>
      <name val="Calibri"/>
      <family val="2"/>
      <charset val="204"/>
      <scheme val="minor"/>
    </font>
    <font>
      <b/>
      <sz val="10"/>
      <color theme="1"/>
      <name val="AcadNusx"/>
    </font>
    <font>
      <sz val="10"/>
      <name val="Arial"/>
      <family val="2"/>
      <charset val="204"/>
    </font>
    <font>
      <sz val="10"/>
      <name val="Arial Cyr"/>
      <family val="2"/>
      <charset val="204"/>
    </font>
    <font>
      <sz val="11"/>
      <color rgb="FF000000"/>
      <name val="Calibri"/>
      <family val="2"/>
      <charset val="204"/>
    </font>
    <font>
      <b/>
      <sz val="11"/>
      <color theme="1"/>
      <name val="Calibri"/>
      <family val="2"/>
      <charset val="204"/>
      <scheme val="minor"/>
    </font>
    <font>
      <sz val="10"/>
      <color theme="1"/>
      <name val="Calibri"/>
      <family val="2"/>
      <charset val="204"/>
      <scheme val="minor"/>
    </font>
    <font>
      <b/>
      <sz val="11"/>
      <name val="AcadNusx"/>
    </font>
    <font>
      <sz val="11"/>
      <color theme="1"/>
      <name val="Calibri"/>
      <family val="2"/>
      <scheme val="minor"/>
    </font>
    <font>
      <sz val="11"/>
      <color indexed="8"/>
      <name val="Calibri"/>
      <family val="2"/>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ChveuNusx"/>
    </font>
    <font>
      <b/>
      <sz val="11"/>
      <color indexed="63"/>
      <name val="Calibri"/>
      <family val="2"/>
      <charset val="204"/>
    </font>
    <font>
      <sz val="10"/>
      <name val="Helv"/>
    </font>
    <font>
      <b/>
      <sz val="18"/>
      <color indexed="56"/>
      <name val="Cambria"/>
      <family val="2"/>
      <charset val="204"/>
    </font>
    <font>
      <b/>
      <sz val="11"/>
      <color indexed="8"/>
      <name val="Calibri"/>
      <family val="2"/>
      <charset val="204"/>
    </font>
    <font>
      <sz val="11"/>
      <color indexed="10"/>
      <name val="Calibri"/>
      <family val="2"/>
      <charset val="204"/>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indexed="8"/>
      <name val="Calibri"/>
      <family val="2"/>
      <charset val="1"/>
    </font>
    <font>
      <sz val="10"/>
      <name val="Arial Cyr"/>
      <charset val="204"/>
    </font>
    <font>
      <sz val="11"/>
      <name val="Times New Roman"/>
      <family val="1"/>
      <charset val="204"/>
    </font>
    <font>
      <sz val="10"/>
      <name val="Arial"/>
      <family val="2"/>
      <charset val="204"/>
    </font>
    <font>
      <u/>
      <sz val="11"/>
      <color theme="10"/>
      <name val="Calibri"/>
      <family val="2"/>
      <scheme val="minor"/>
    </font>
    <font>
      <sz val="11"/>
      <color rgb="FF9C0006"/>
      <name val="Calibri"/>
      <family val="2"/>
      <charset val="204"/>
      <scheme val="minor"/>
    </font>
    <font>
      <b/>
      <sz val="10"/>
      <name val="AcadNusx"/>
    </font>
    <font>
      <b/>
      <vertAlign val="superscript"/>
      <sz val="10"/>
      <name val="AcadNusx"/>
    </font>
    <font>
      <vertAlign val="superscript"/>
      <sz val="10"/>
      <name val="AcadNusx"/>
    </font>
    <font>
      <sz val="10"/>
      <color rgb="FF000000"/>
      <name val="AcadNusx"/>
    </font>
    <font>
      <b/>
      <sz val="11"/>
      <color rgb="FF000000"/>
      <name val="AcadNusx"/>
    </font>
    <font>
      <sz val="10"/>
      <color rgb="FFFF0000"/>
      <name val="AcadNusx"/>
    </font>
    <font>
      <sz val="11"/>
      <color rgb="FF000000"/>
      <name val="AcadNusx"/>
    </font>
    <font>
      <sz val="10"/>
      <name val="Calibri"/>
      <family val="2"/>
      <charset val="204"/>
      <scheme val="minor"/>
    </font>
    <font>
      <b/>
      <sz val="11"/>
      <name val="Calibri"/>
      <family val="2"/>
      <charset val="204"/>
      <scheme val="minor"/>
    </font>
    <font>
      <sz val="11"/>
      <name val="Arial"/>
      <family val="2"/>
      <charset val="204"/>
    </font>
    <font>
      <sz val="11"/>
      <color rgb="FFFF0000"/>
      <name val="AcadNusx"/>
    </font>
    <font>
      <b/>
      <sz val="12"/>
      <color rgb="FFFF0000"/>
      <name val="AcadNusx"/>
    </font>
    <font>
      <b/>
      <sz val="11"/>
      <color rgb="FFFF0000"/>
      <name val="AcadNusx"/>
    </font>
    <font>
      <b/>
      <sz val="10"/>
      <color rgb="FF000000"/>
      <name val="AcadNusx"/>
    </font>
    <font>
      <b/>
      <sz val="10"/>
      <color theme="0"/>
      <name val="AcadNusx"/>
    </font>
    <font>
      <sz val="11"/>
      <color theme="0"/>
      <name val="Calibri"/>
      <family val="2"/>
      <charset val="204"/>
      <scheme val="minor"/>
    </font>
    <font>
      <b/>
      <sz val="12"/>
      <color theme="0"/>
      <name val="AcadNusx"/>
    </font>
    <font>
      <b/>
      <sz val="11"/>
      <color rgb="FF0000FF"/>
      <name val="AcadNusx"/>
    </font>
    <font>
      <b/>
      <sz val="11"/>
      <color rgb="FF0000FF"/>
      <name val="AcadMtavr"/>
    </font>
    <font>
      <b/>
      <sz val="11"/>
      <color rgb="FFFF0000"/>
      <name val="Calibri"/>
      <family val="2"/>
      <charset val="204"/>
      <scheme val="minor"/>
    </font>
    <font>
      <b/>
      <sz val="11"/>
      <color theme="0"/>
      <name val="AcadNusx"/>
    </font>
    <font>
      <b/>
      <sz val="12"/>
      <color rgb="FF0000FF"/>
      <name val="AcadMtavr"/>
    </font>
    <font>
      <b/>
      <sz val="14"/>
      <color rgb="FF0000FF"/>
      <name val="AcadMtavr"/>
    </font>
    <font>
      <b/>
      <sz val="20"/>
      <color rgb="FF0000FF"/>
      <name val="AcadMtavr"/>
    </font>
    <font>
      <sz val="12"/>
      <color theme="0"/>
      <name val="AcadNusx"/>
    </font>
    <font>
      <sz val="10"/>
      <color rgb="FFFF0000"/>
      <name val="Calibri"/>
      <family val="2"/>
      <charset val="204"/>
      <scheme val="minor"/>
    </font>
    <font>
      <b/>
      <sz val="10"/>
      <name val="AcadMtavr"/>
    </font>
    <font>
      <b/>
      <sz val="11"/>
      <name val="AcadMtavr"/>
    </font>
    <font>
      <sz val="10"/>
      <name val="Calibri"/>
      <family val="2"/>
    </font>
    <font>
      <sz val="11"/>
      <color rgb="FFFF0000"/>
      <name val="Calibri"/>
      <family val="2"/>
      <charset val="204"/>
      <scheme val="minor"/>
    </font>
    <font>
      <sz val="12"/>
      <name val="AcadMtavr"/>
    </font>
    <font>
      <sz val="11"/>
      <name val="AcadMtavr"/>
    </font>
    <font>
      <sz val="11"/>
      <color theme="1"/>
      <name val="AcadMtavr"/>
    </font>
    <font>
      <b/>
      <sz val="10"/>
      <color rgb="FFFF0000"/>
      <name val="AcadNusx"/>
    </font>
    <font>
      <b/>
      <sz val="10"/>
      <name val="Calibri"/>
      <family val="2"/>
      <charset val="204"/>
      <scheme val="minor"/>
    </font>
    <font>
      <sz val="11"/>
      <name val="Calibri"/>
      <family val="2"/>
    </font>
    <font>
      <sz val="11"/>
      <color rgb="FFFF0000"/>
      <name val="Arial"/>
      <family val="2"/>
      <charset val="204"/>
    </font>
    <font>
      <b/>
      <sz val="11"/>
      <color rgb="FFFF0000"/>
      <name val="AcadMtavr"/>
    </font>
    <font>
      <b/>
      <sz val="11"/>
      <color theme="0"/>
      <name val="AcadMtavr"/>
    </font>
    <font>
      <sz val="11"/>
      <name val="Calibri"/>
      <family val="2"/>
      <charset val="204"/>
    </font>
    <font>
      <sz val="10"/>
      <color theme="0"/>
      <name val="Calibri"/>
      <family val="2"/>
      <charset val="204"/>
      <scheme val="minor"/>
    </font>
    <font>
      <b/>
      <i/>
      <u/>
      <sz val="11"/>
      <name val="AcadNusx"/>
    </font>
    <font>
      <b/>
      <i/>
      <sz val="11"/>
      <name val="AcadNusx"/>
    </font>
    <font>
      <b/>
      <i/>
      <sz val="11"/>
      <name val="Calibri"/>
      <family val="2"/>
      <charset val="204"/>
      <scheme val="minor"/>
    </font>
    <font>
      <b/>
      <i/>
      <sz val="11"/>
      <name val="AcadNusx"/>
      <family val="2"/>
      <charset val="204"/>
    </font>
    <font>
      <b/>
      <sz val="11"/>
      <color theme="1"/>
      <name val="Calibri"/>
      <family val="2"/>
      <scheme val="minor"/>
    </font>
    <font>
      <sz val="11"/>
      <color rgb="FFFF0000"/>
      <name val="AcadMtavr"/>
    </font>
    <font>
      <b/>
      <sz val="11"/>
      <name val="Calibri"/>
      <family val="2"/>
      <charset val="204"/>
    </font>
    <font>
      <sz val="11"/>
      <name val="AcadNusx"/>
      <family val="2"/>
      <charset val="204"/>
    </font>
    <font>
      <b/>
      <sz val="11"/>
      <name val="Arial"/>
      <family val="2"/>
      <charset val="204"/>
    </font>
    <font>
      <b/>
      <sz val="14"/>
      <color rgb="FF0000FF"/>
      <name val="AcadNusx"/>
    </font>
  </fonts>
  <fills count="41">
    <fill>
      <patternFill patternType="none"/>
    </fill>
    <fill>
      <patternFill patternType="gray125"/>
    </fill>
    <fill>
      <patternFill patternType="solid">
        <fgColor theme="8" tint="0.39997558519241921"/>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4.9989318521683403E-2"/>
        <bgColor indexed="64"/>
      </patternFill>
    </fill>
    <fill>
      <patternFill patternType="solid">
        <fgColor rgb="FFFFFFCC"/>
        <bgColor indexed="64"/>
      </patternFill>
    </fill>
    <fill>
      <patternFill patternType="solid">
        <fgColor rgb="FFCCFF33"/>
        <bgColor indexed="64"/>
      </patternFill>
    </fill>
    <fill>
      <patternFill patternType="solid">
        <fgColor rgb="FF008080"/>
        <bgColor indexed="64"/>
      </patternFill>
    </fill>
    <fill>
      <patternFill patternType="solid">
        <fgColor theme="3" tint="-0.249977111117893"/>
        <bgColor indexed="64"/>
      </patternFill>
    </fill>
    <fill>
      <patternFill patternType="solid">
        <fgColor theme="8" tint="-0.499984740745262"/>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39997558519241921"/>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ck">
        <color indexed="64"/>
      </left>
      <right/>
      <top style="thick">
        <color indexed="64"/>
      </top>
      <bottom/>
      <diagonal/>
    </border>
    <border>
      <left/>
      <right/>
      <top style="thick">
        <color indexed="64"/>
      </top>
      <bottom style="medium">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medium">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916">
    <xf numFmtId="0" fontId="0" fillId="0" borderId="0"/>
    <xf numFmtId="165" fontId="10" fillId="0" borderId="0" applyFont="0" applyFill="0" applyBorder="0" applyAlignment="0" applyProtection="0"/>
    <xf numFmtId="0" fontId="11" fillId="0" borderId="0"/>
    <xf numFmtId="0" fontId="17" fillId="0" borderId="0"/>
    <xf numFmtId="0" fontId="19" fillId="0" borderId="0"/>
    <xf numFmtId="0" fontId="23" fillId="0" borderId="0"/>
    <xf numFmtId="0" fontId="24"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5" fillId="10"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5" fillId="12"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4" fillId="16" borderId="0" applyNumberFormat="0" applyBorder="0" applyAlignment="0" applyProtection="0"/>
    <xf numFmtId="0" fontId="24"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4" fillId="17" borderId="0" applyNumberFormat="0" applyBorder="0" applyAlignment="0" applyProtection="0"/>
    <xf numFmtId="0" fontId="44"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44"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44"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44"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44"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44"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44"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44"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44"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44"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44"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26" fillId="25" borderId="0" applyNumberFormat="0" applyBorder="0" applyAlignment="0" applyProtection="0"/>
    <xf numFmtId="0" fontId="45"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27" fillId="9" borderId="0" applyNumberFormat="0" applyBorder="0" applyAlignment="0" applyProtection="0"/>
    <xf numFmtId="0" fontId="46"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28" fillId="26" borderId="9" applyNumberFormat="0" applyAlignment="0" applyProtection="0"/>
    <xf numFmtId="0" fontId="47"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0" fontId="29" fillId="27" borderId="10" applyNumberFormat="0" applyAlignment="0" applyProtection="0"/>
    <xf numFmtId="43" fontId="23"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170" fontId="18" fillId="0" borderId="0" applyFont="0" applyFill="0" applyBorder="0" applyAlignment="0" applyProtection="0"/>
    <xf numFmtId="171"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0" fontId="17" fillId="0" borderId="0" applyFont="0" applyFill="0" applyBorder="0" applyAlignment="0" applyProtection="0"/>
    <xf numFmtId="171" fontId="17" fillId="0" borderId="0" applyFont="0" applyFill="0" applyBorder="0" applyAlignment="0" applyProtection="0"/>
    <xf numFmtId="170" fontId="18" fillId="0" borderId="0" applyFont="0" applyFill="0" applyBorder="0" applyAlignment="0" applyProtection="0"/>
    <xf numFmtId="167" fontId="2" fillId="0" borderId="0" applyFont="0" applyFill="0" applyBorder="0" applyAlignment="0" applyProtection="0"/>
    <xf numFmtId="172" fontId="60" fillId="0" borderId="0" applyFont="0" applyFill="0" applyBorder="0" applyAlignment="0" applyProtection="0"/>
    <xf numFmtId="169" fontId="25" fillId="0" borderId="0" applyFont="0" applyFill="0" applyBorder="0" applyAlignment="0" applyProtection="0"/>
    <xf numFmtId="170" fontId="24" fillId="0" borderId="0" applyFont="0" applyFill="0" applyBorder="0" applyAlignment="0" applyProtection="0"/>
    <xf numFmtId="170" fontId="24" fillId="0" borderId="0" applyFont="0" applyFill="0" applyBorder="0" applyAlignment="0" applyProtection="0"/>
    <xf numFmtId="170" fontId="23" fillId="0" borderId="0" applyFont="0" applyFill="0" applyBorder="0" applyAlignment="0" applyProtection="0"/>
    <xf numFmtId="168" fontId="61" fillId="0" borderId="0" applyFont="0" applyFill="0" applyBorder="0" applyAlignment="0" applyProtection="0"/>
    <xf numFmtId="170"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72" fontId="11" fillId="0" borderId="0" applyFont="0" applyFill="0" applyBorder="0" applyAlignment="0" applyProtection="0"/>
    <xf numFmtId="172" fontId="23" fillId="0" borderId="0" applyFont="0" applyFill="0" applyBorder="0" applyAlignment="0" applyProtection="0"/>
    <xf numFmtId="168" fontId="61" fillId="0" borderId="0" applyFont="0" applyFill="0" applyBorder="0" applyAlignment="0" applyProtection="0"/>
    <xf numFmtId="170" fontId="1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4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49"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31" fillId="10" borderId="0" applyNumberFormat="0" applyBorder="0" applyAlignment="0" applyProtection="0"/>
    <xf numFmtId="0" fontId="50"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51"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52"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34" fillId="0" borderId="13" applyNumberFormat="0" applyFill="0" applyAlignment="0" applyProtection="0"/>
    <xf numFmtId="0" fontId="52"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64" fillId="0" borderId="0" applyNumberFormat="0" applyFill="0" applyBorder="0" applyAlignment="0" applyProtection="0"/>
    <xf numFmtId="0" fontId="53"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35" fillId="13" borderId="9" applyNumberFormat="0" applyAlignment="0" applyProtection="0"/>
    <xf numFmtId="0" fontId="54"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55"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11" fillId="0" borderId="0"/>
    <xf numFmtId="0" fontId="11" fillId="0" borderId="0"/>
    <xf numFmtId="0" fontId="11" fillId="0" borderId="0"/>
    <xf numFmtId="0" fontId="17" fillId="0" borderId="0"/>
    <xf numFmtId="0" fontId="17" fillId="0" borderId="0"/>
    <xf numFmtId="0" fontId="18" fillId="0" borderId="0"/>
    <xf numFmtId="0" fontId="18" fillId="0" borderId="0"/>
    <xf numFmtId="0" fontId="11" fillId="0" borderId="0"/>
    <xf numFmtId="0" fontId="18" fillId="0" borderId="0"/>
    <xf numFmtId="0" fontId="18"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0" fontId="23" fillId="0" borderId="0"/>
    <xf numFmtId="0" fontId="23" fillId="0" borderId="0"/>
    <xf numFmtId="0" fontId="1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17" fillId="0" borderId="0"/>
    <xf numFmtId="0" fontId="11" fillId="0" borderId="0"/>
    <xf numFmtId="0" fontId="17" fillId="0" borderId="0"/>
    <xf numFmtId="0" fontId="17" fillId="0" borderId="0"/>
    <xf numFmtId="0" fontId="18" fillId="0" borderId="0"/>
    <xf numFmtId="0" fontId="18" fillId="0" borderId="0"/>
    <xf numFmtId="0" fontId="18" fillId="0" borderId="0"/>
    <xf numFmtId="0" fontId="17" fillId="0" borderId="0"/>
    <xf numFmtId="0" fontId="18" fillId="0" borderId="0"/>
    <xf numFmtId="0" fontId="18" fillId="0" borderId="0"/>
    <xf numFmtId="0" fontId="17" fillId="0" borderId="0"/>
    <xf numFmtId="0" fontId="18" fillId="0" borderId="0"/>
    <xf numFmtId="0" fontId="17" fillId="0" borderId="0"/>
    <xf numFmtId="0" fontId="17" fillId="0" borderId="0"/>
    <xf numFmtId="0" fontId="18" fillId="0" borderId="0"/>
    <xf numFmtId="0" fontId="11" fillId="0" borderId="0"/>
    <xf numFmtId="0" fontId="11" fillId="0" borderId="0"/>
    <xf numFmtId="0" fontId="17" fillId="0" borderId="0"/>
    <xf numFmtId="0" fontId="11" fillId="0" borderId="0"/>
    <xf numFmtId="0" fontId="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7" fillId="0" borderId="0"/>
    <xf numFmtId="0" fontId="17"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7" fillId="0" borderId="0"/>
    <xf numFmtId="0" fontId="17" fillId="0" borderId="0"/>
    <xf numFmtId="0" fontId="11" fillId="0" borderId="0"/>
    <xf numFmtId="0" fontId="11" fillId="0" borderId="0"/>
    <xf numFmtId="0" fontId="17" fillId="0" borderId="0"/>
    <xf numFmtId="0" fontId="11" fillId="0" borderId="0"/>
    <xf numFmtId="0" fontId="17" fillId="0" borderId="0"/>
    <xf numFmtId="0" fontId="17" fillId="0" borderId="0"/>
    <xf numFmtId="0" fontId="11" fillId="0" borderId="0"/>
    <xf numFmtId="0" fontId="17" fillId="0" borderId="0"/>
    <xf numFmtId="0" fontId="17" fillId="0" borderId="0"/>
    <xf numFmtId="0" fontId="17" fillId="0" borderId="0"/>
    <xf numFmtId="0" fontId="24" fillId="0" borderId="0"/>
    <xf numFmtId="0" fontId="23" fillId="0" borderId="0"/>
    <xf numFmtId="0" fontId="23" fillId="0" borderId="0"/>
    <xf numFmtId="0" fontId="17" fillId="0" borderId="0"/>
    <xf numFmtId="0" fontId="17" fillId="0" borderId="0"/>
    <xf numFmtId="0" fontId="17" fillId="0" borderId="0"/>
    <xf numFmtId="0" fontId="17" fillId="0" borderId="0"/>
    <xf numFmtId="0" fontId="11" fillId="0" borderId="0"/>
    <xf numFmtId="0" fontId="17" fillId="0" borderId="0"/>
    <xf numFmtId="0" fontId="17" fillId="0" borderId="0"/>
    <xf numFmtId="0" fontId="11" fillId="0" borderId="0"/>
    <xf numFmtId="0" fontId="2" fillId="0" borderId="0"/>
    <xf numFmtId="0" fontId="23" fillId="0" borderId="0"/>
    <xf numFmtId="0" fontId="2" fillId="0" borderId="0"/>
    <xf numFmtId="0" fontId="23" fillId="0" borderId="0"/>
    <xf numFmtId="0" fontId="23" fillId="0" borderId="0"/>
    <xf numFmtId="0" fontId="2" fillId="0" borderId="0"/>
    <xf numFmtId="0" fontId="23" fillId="0" borderId="0"/>
    <xf numFmtId="0" fontId="2" fillId="0" borderId="0"/>
    <xf numFmtId="0" fontId="17" fillId="0" borderId="0"/>
    <xf numFmtId="0" fontId="11" fillId="0" borderId="0"/>
    <xf numFmtId="0" fontId="17" fillId="0" borderId="0"/>
    <xf numFmtId="0" fontId="17" fillId="0" borderId="0"/>
    <xf numFmtId="0" fontId="11" fillId="0" borderId="0"/>
    <xf numFmtId="0" fontId="11" fillId="0" borderId="0"/>
    <xf numFmtId="0" fontId="11" fillId="0" borderId="0"/>
    <xf numFmtId="0" fontId="17" fillId="0" borderId="0"/>
    <xf numFmtId="0" fontId="11" fillId="0" borderId="0"/>
    <xf numFmtId="0" fontId="38" fillId="0" borderId="0"/>
    <xf numFmtId="0" fontId="23" fillId="0" borderId="0"/>
    <xf numFmtId="0" fontId="62" fillId="0" borderId="0"/>
    <xf numFmtId="0" fontId="17" fillId="0" borderId="0"/>
    <xf numFmtId="0" fontId="11" fillId="0" borderId="0"/>
    <xf numFmtId="0" fontId="17" fillId="0" borderId="0"/>
    <xf numFmtId="0" fontId="17" fillId="0" borderId="0"/>
    <xf numFmtId="0" fontId="17" fillId="0" borderId="0"/>
    <xf numFmtId="0" fontId="11" fillId="0" borderId="0"/>
    <xf numFmtId="0" fontId="11" fillId="0" borderId="0"/>
    <xf numFmtId="0" fontId="17" fillId="0" borderId="0"/>
    <xf numFmtId="0" fontId="23" fillId="0" borderId="0"/>
    <xf numFmtId="0" fontId="17" fillId="0" borderId="0"/>
    <xf numFmtId="0" fontId="17" fillId="0" borderId="0"/>
    <xf numFmtId="0" fontId="17" fillId="0" borderId="0"/>
    <xf numFmtId="0" fontId="23" fillId="0" borderId="0"/>
    <xf numFmtId="0" fontId="17" fillId="0" borderId="0"/>
    <xf numFmtId="0" fontId="23" fillId="0" borderId="0"/>
    <xf numFmtId="0" fontId="17" fillId="0" borderId="0"/>
    <xf numFmtId="0" fontId="63" fillId="0" borderId="0"/>
    <xf numFmtId="0" fontId="17" fillId="0" borderId="0"/>
    <xf numFmtId="0" fontId="11" fillId="0" borderId="0"/>
    <xf numFmtId="0" fontId="18" fillId="0" borderId="0"/>
    <xf numFmtId="0" fontId="11" fillId="0" borderId="0"/>
    <xf numFmtId="0" fontId="18" fillId="0" borderId="0"/>
    <xf numFmtId="0" fontId="17" fillId="0" borderId="0"/>
    <xf numFmtId="0" fontId="61" fillId="0" borderId="0"/>
    <xf numFmtId="0" fontId="17" fillId="0" borderId="0"/>
    <xf numFmtId="0" fontId="61" fillId="0" borderId="0"/>
    <xf numFmtId="0" fontId="11" fillId="0" borderId="0"/>
    <xf numFmtId="0" fontId="11" fillId="0" borderId="0"/>
    <xf numFmtId="0" fontId="11" fillId="0" borderId="0"/>
    <xf numFmtId="0" fontId="6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17" fillId="29" borderId="15" applyNumberFormat="0" applyFont="0" applyAlignment="0" applyProtection="0"/>
    <xf numFmtId="0" fontId="56"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0" fontId="39" fillId="26" borderId="16" applyNumberFormat="0" applyAlignment="0" applyProtection="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40" fillId="0" borderId="0"/>
    <xf numFmtId="0" fontId="57"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58"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42" fillId="0" borderId="17" applyNumberFormat="0" applyFill="0" applyAlignment="0" applyProtection="0"/>
    <xf numFmtId="0" fontId="59"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3" fillId="0" borderId="0"/>
    <xf numFmtId="0" fontId="23" fillId="0" borderId="0"/>
    <xf numFmtId="0" fontId="17" fillId="0" borderId="0"/>
    <xf numFmtId="0" fontId="17" fillId="0" borderId="0"/>
    <xf numFmtId="0" fontId="23" fillId="0" borderId="0"/>
    <xf numFmtId="0" fontId="17" fillId="0" borderId="0"/>
    <xf numFmtId="0" fontId="17" fillId="0" borderId="0"/>
    <xf numFmtId="0" fontId="17" fillId="0" borderId="0"/>
    <xf numFmtId="0" fontId="11" fillId="0" borderId="0"/>
    <xf numFmtId="0" fontId="10" fillId="0" borderId="0"/>
    <xf numFmtId="0" fontId="11" fillId="0" borderId="0"/>
    <xf numFmtId="0" fontId="17" fillId="0" borderId="0"/>
    <xf numFmtId="0" fontId="17" fillId="0" borderId="0"/>
    <xf numFmtId="0" fontId="17" fillId="0" borderId="0"/>
    <xf numFmtId="0" fontId="23" fillId="0" borderId="0"/>
    <xf numFmtId="0" fontId="11" fillId="0" borderId="0"/>
    <xf numFmtId="0" fontId="23" fillId="0" borderId="0"/>
    <xf numFmtId="0" fontId="17" fillId="0" borderId="0"/>
    <xf numFmtId="0" fontId="17" fillId="0" borderId="0"/>
    <xf numFmtId="0" fontId="61" fillId="0" borderId="0"/>
    <xf numFmtId="0" fontId="2" fillId="0" borderId="0"/>
    <xf numFmtId="0" fontId="2" fillId="0" borderId="0"/>
    <xf numFmtId="0" fontId="17" fillId="0" borderId="0"/>
    <xf numFmtId="0" fontId="65" fillId="7" borderId="0" applyNumberFormat="0" applyBorder="0" applyAlignment="0" applyProtection="0"/>
    <xf numFmtId="9" fontId="1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170" fontId="24" fillId="0" borderId="0" applyFont="0" applyFill="0" applyBorder="0" applyAlignment="0" applyProtection="0"/>
    <xf numFmtId="167" fontId="11" fillId="0" borderId="0" applyFont="0" applyFill="0" applyBorder="0" applyAlignment="0" applyProtection="0"/>
    <xf numFmtId="0" fontId="17" fillId="0" borderId="0"/>
    <xf numFmtId="0" fontId="17" fillId="0" borderId="0"/>
    <xf numFmtId="0" fontId="1" fillId="0" borderId="0"/>
    <xf numFmtId="0" fontId="61" fillId="0" borderId="0"/>
    <xf numFmtId="0" fontId="17" fillId="0" borderId="0"/>
    <xf numFmtId="0" fontId="17" fillId="0" borderId="0"/>
    <xf numFmtId="0" fontId="18" fillId="0" borderId="0"/>
    <xf numFmtId="164" fontId="23"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7" fillId="0" borderId="0"/>
    <xf numFmtId="0" fontId="1" fillId="0" borderId="0"/>
    <xf numFmtId="0" fontId="1" fillId="0" borderId="0"/>
  </cellStyleXfs>
  <cellXfs count="788">
    <xf numFmtId="0" fontId="0" fillId="0" borderId="0" xfId="0"/>
    <xf numFmtId="2" fontId="4"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49" fontId="13" fillId="0" borderId="0" xfId="0" applyNumberFormat="1" applyFont="1" applyAlignment="1">
      <alignment horizontal="center" vertical="center" wrapText="1"/>
    </xf>
    <xf numFmtId="0" fontId="0" fillId="0" borderId="0" xfId="0" applyNumberFormat="1" applyAlignment="1">
      <alignment horizontal="center" vertical="center" wrapText="1"/>
    </xf>
    <xf numFmtId="0" fontId="4"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0" fontId="4" fillId="2"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4"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13" fillId="0" borderId="0" xfId="0" applyFont="1" applyAlignment="1">
      <alignment horizontal="center" vertical="center" wrapText="1"/>
    </xf>
    <xf numFmtId="0" fontId="13" fillId="0" borderId="1" xfId="0" applyNumberFormat="1" applyFont="1" applyFill="1" applyBorder="1" applyAlignment="1">
      <alignment horizontal="center" vertical="center" wrapText="1"/>
    </xf>
    <xf numFmtId="49" fontId="16" fillId="0" borderId="0" xfId="0" applyNumberFormat="1" applyFont="1" applyAlignment="1">
      <alignment horizontal="center" vertical="center" wrapText="1"/>
    </xf>
    <xf numFmtId="0" fontId="22" fillId="0" borderId="1" xfId="0" applyNumberFormat="1" applyFont="1" applyFill="1" applyBorder="1" applyAlignment="1">
      <alignment horizontal="center" vertical="center" wrapText="1"/>
    </xf>
    <xf numFmtId="49" fontId="7" fillId="6" borderId="3"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49" fontId="66" fillId="6" borderId="1" xfId="0"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66" fillId="0" borderId="1" xfId="0" applyNumberFormat="1" applyFont="1" applyFill="1" applyBorder="1" applyAlignment="1">
      <alignment horizontal="center" vertical="center" wrapText="1"/>
    </xf>
    <xf numFmtId="0" fontId="12" fillId="6"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49" fontId="7" fillId="0" borderId="1" xfId="2" applyNumberFormat="1" applyFont="1" applyFill="1" applyBorder="1" applyAlignment="1" applyProtection="1">
      <alignment horizontal="center" vertical="center" wrapText="1"/>
    </xf>
    <xf numFmtId="49" fontId="21" fillId="0" borderId="0" xfId="0" applyNumberFormat="1" applyFont="1"/>
    <xf numFmtId="2" fontId="13" fillId="0" borderId="1" xfId="0" applyNumberFormat="1" applyFont="1" applyFill="1" applyBorder="1" applyAlignment="1">
      <alignment horizontal="center" vertical="center" wrapText="1"/>
    </xf>
    <xf numFmtId="0" fontId="12" fillId="0" borderId="1" xfId="1" applyNumberFormat="1" applyFont="1" applyFill="1" applyBorder="1" applyAlignment="1" applyProtection="1">
      <alignment horizontal="center" vertical="center" wrapText="1"/>
    </xf>
    <xf numFmtId="2" fontId="2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0" fontId="12" fillId="6" borderId="3" xfId="0" applyNumberFormat="1" applyFont="1" applyFill="1" applyBorder="1" applyAlignment="1">
      <alignment horizontal="center" vertical="center" wrapText="1"/>
    </xf>
    <xf numFmtId="0" fontId="12" fillId="0" borderId="1" xfId="1" applyNumberFormat="1" applyFont="1" applyFill="1" applyBorder="1" applyAlignment="1">
      <alignment horizontal="center" vertical="center" wrapText="1"/>
    </xf>
    <xf numFmtId="0" fontId="4" fillId="0" borderId="1" xfId="0" applyNumberFormat="1" applyFont="1" applyBorder="1" applyAlignment="1">
      <alignment horizontal="center" vertical="center" wrapText="1"/>
    </xf>
    <xf numFmtId="0" fontId="76" fillId="0" borderId="1"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0" fontId="14" fillId="0" borderId="1" xfId="0" applyNumberFormat="1" applyFont="1" applyFill="1" applyBorder="1" applyAlignment="1">
      <alignment horizontal="center" vertical="center" wrapText="1"/>
    </xf>
    <xf numFmtId="0" fontId="22" fillId="0" borderId="1" xfId="1" applyNumberFormat="1" applyFont="1" applyFill="1" applyBorder="1" applyAlignment="1" applyProtection="1">
      <alignment horizontal="center" vertical="center" wrapText="1"/>
    </xf>
    <xf numFmtId="0" fontId="16" fillId="0" borderId="1" xfId="0" applyNumberFormat="1" applyFont="1" applyFill="1" applyBorder="1" applyAlignment="1">
      <alignment horizontal="center" vertical="center" wrapText="1"/>
    </xf>
    <xf numFmtId="0" fontId="12" fillId="0" borderId="1" xfId="634" applyNumberFormat="1" applyFont="1" applyFill="1" applyBorder="1" applyAlignment="1">
      <alignment horizontal="center" vertical="center" wrapText="1"/>
    </xf>
    <xf numFmtId="0" fontId="22" fillId="0" borderId="1" xfId="634"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2" fillId="0" borderId="1" xfId="0" applyNumberFormat="1" applyFont="1" applyFill="1" applyBorder="1" applyAlignment="1">
      <alignment vertical="center" wrapText="1"/>
    </xf>
    <xf numFmtId="2" fontId="12" fillId="0" borderId="1" xfId="1" applyNumberFormat="1" applyFont="1" applyFill="1" applyBorder="1" applyAlignment="1" applyProtection="1">
      <alignment horizontal="center" vertical="center" wrapText="1"/>
    </xf>
    <xf numFmtId="49" fontId="13" fillId="0" borderId="1" xfId="0" applyNumberFormat="1" applyFont="1" applyBorder="1" applyAlignment="1">
      <alignment horizontal="left" vertical="center" wrapText="1"/>
    </xf>
    <xf numFmtId="49" fontId="12" fillId="0" borderId="1" xfId="2" applyNumberFormat="1" applyFont="1" applyFill="1" applyBorder="1" applyAlignment="1" applyProtection="1">
      <alignment horizontal="left" vertical="center" wrapText="1"/>
    </xf>
    <xf numFmtId="49" fontId="2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pplyProtection="1">
      <alignment horizontal="left" vertical="center" wrapText="1"/>
    </xf>
    <xf numFmtId="49" fontId="12" fillId="0" borderId="1" xfId="3" applyNumberFormat="1" applyFont="1" applyFill="1" applyBorder="1" applyAlignment="1">
      <alignment horizontal="left" vertical="center" wrapText="1"/>
    </xf>
    <xf numFmtId="49" fontId="12" fillId="6" borderId="1" xfId="0" applyNumberFormat="1" applyFont="1" applyFill="1" applyBorder="1" applyAlignment="1">
      <alignment horizontal="left" vertical="center" wrapText="1"/>
    </xf>
    <xf numFmtId="49" fontId="12" fillId="6" borderId="3"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2" fillId="0" borderId="1" xfId="0" applyNumberFormat="1" applyFont="1" applyBorder="1" applyAlignment="1">
      <alignment horizontal="left" vertical="center" wrapText="1"/>
    </xf>
    <xf numFmtId="49" fontId="66" fillId="0" borderId="1" xfId="1" applyNumberFormat="1" applyFont="1" applyFill="1" applyBorder="1" applyAlignment="1">
      <alignment horizontal="center" vertical="center" wrapText="1"/>
    </xf>
    <xf numFmtId="2" fontId="12" fillId="0" borderId="1" xfId="1"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7" fillId="0" borderId="1" xfId="634" applyNumberFormat="1" applyFont="1" applyFill="1" applyBorder="1" applyAlignment="1">
      <alignment horizontal="center" vertical="center" wrapText="1"/>
    </xf>
    <xf numFmtId="49" fontId="12" fillId="0" borderId="1" xfId="1" applyNumberFormat="1" applyFont="1" applyFill="1" applyBorder="1" applyAlignment="1">
      <alignment horizontal="left" vertical="center" wrapText="1"/>
    </xf>
    <xf numFmtId="49" fontId="7" fillId="0" borderId="1" xfId="3"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2" fontId="13" fillId="0" borderId="0" xfId="0" applyNumberFormat="1" applyFont="1" applyAlignment="1">
      <alignment vertical="center" wrapText="1"/>
    </xf>
    <xf numFmtId="49" fontId="66" fillId="4" borderId="1" xfId="0" applyNumberFormat="1" applyFont="1" applyFill="1" applyBorder="1" applyAlignment="1">
      <alignment horizontal="center" vertical="center" wrapText="1"/>
    </xf>
    <xf numFmtId="0" fontId="22" fillId="4" borderId="1" xfId="0" applyNumberFormat="1" applyFont="1" applyFill="1" applyBorder="1" applyAlignment="1">
      <alignment horizontal="center" vertical="center" wrapText="1"/>
    </xf>
    <xf numFmtId="49" fontId="66" fillId="0" borderId="1" xfId="634" applyNumberFormat="1" applyFont="1" applyFill="1" applyBorder="1" applyAlignment="1">
      <alignment horizontal="center" vertical="center" wrapText="1"/>
    </xf>
    <xf numFmtId="0" fontId="12" fillId="0" borderId="0" xfId="0" applyNumberFormat="1" applyFont="1" applyAlignment="1">
      <alignment horizontal="center" vertical="center" wrapText="1"/>
    </xf>
    <xf numFmtId="49" fontId="22" fillId="6" borderId="1" xfId="0" applyNumberFormat="1" applyFont="1" applyFill="1" applyBorder="1" applyAlignment="1">
      <alignment horizontal="left" vertical="center" wrapText="1"/>
    </xf>
    <xf numFmtId="0" fontId="12" fillId="0" borderId="1" xfId="2"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wrapText="1"/>
    </xf>
    <xf numFmtId="0" fontId="12" fillId="0" borderId="1" xfId="0" applyNumberFormat="1" applyFont="1" applyFill="1" applyBorder="1" applyAlignment="1">
      <alignment horizontal="center" vertical="center" wrapText="1"/>
    </xf>
    <xf numFmtId="0" fontId="7" fillId="0" borderId="0" xfId="0" applyNumberFormat="1" applyFont="1" applyAlignment="1">
      <alignment horizontal="center" vertical="center" wrapText="1"/>
    </xf>
    <xf numFmtId="49" fontId="22" fillId="0" borderId="1" xfId="1" applyNumberFormat="1"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2" fontId="12" fillId="0" borderId="1" xfId="795"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22" fillId="0" borderId="1" xfId="1" applyNumberFormat="1" applyFont="1" applyFill="1" applyBorder="1" applyAlignment="1">
      <alignment horizontal="center" vertical="center" wrapText="1"/>
    </xf>
    <xf numFmtId="0" fontId="22" fillId="3"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2" fontId="13" fillId="0" borderId="1" xfId="0" applyNumberFormat="1" applyFont="1" applyBorder="1" applyAlignment="1">
      <alignment horizontal="center" vertical="center" wrapText="1"/>
    </xf>
    <xf numFmtId="49" fontId="22" fillId="0" borderId="1" xfId="0" applyNumberFormat="1" applyFont="1" applyFill="1" applyBorder="1" applyAlignment="1">
      <alignment horizontal="center" vertical="center" wrapText="1"/>
    </xf>
    <xf numFmtId="49" fontId="22" fillId="0" borderId="1" xfId="2" applyNumberFormat="1" applyFont="1" applyFill="1" applyBorder="1" applyAlignment="1" applyProtection="1">
      <alignment vertical="center" wrapText="1"/>
    </xf>
    <xf numFmtId="49" fontId="12" fillId="0" borderId="1" xfId="2" applyNumberFormat="1" applyFont="1" applyFill="1" applyBorder="1" applyAlignment="1" applyProtection="1">
      <alignment vertical="center" wrapText="1"/>
    </xf>
    <xf numFmtId="49" fontId="66" fillId="5" borderId="1" xfId="0" applyNumberFormat="1" applyFont="1" applyFill="1" applyBorder="1" applyAlignment="1">
      <alignment horizontal="center" vertical="center" wrapText="1"/>
    </xf>
    <xf numFmtId="0" fontId="12" fillId="0" borderId="0" xfId="0" applyFont="1" applyFill="1" applyAlignment="1">
      <alignment horizontal="center" vertical="center" wrapText="1"/>
    </xf>
    <xf numFmtId="2" fontId="12" fillId="0" borderId="1" xfId="902" applyNumberFormat="1" applyFont="1" applyFill="1" applyBorder="1" applyAlignment="1">
      <alignment horizontal="center" vertical="center" wrapText="1"/>
    </xf>
    <xf numFmtId="2" fontId="76" fillId="0" borderId="0" xfId="0" applyNumberFormat="1" applyFont="1" applyFill="1" applyAlignment="1">
      <alignment horizontal="right" vertical="center" wrapText="1"/>
    </xf>
    <xf numFmtId="0" fontId="0" fillId="0" borderId="0" xfId="0" applyNumberForma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49" fontId="12" fillId="0" borderId="3" xfId="0" applyNumberFormat="1" applyFont="1" applyBorder="1" applyAlignment="1">
      <alignment horizontal="left" vertical="center" wrapText="1"/>
    </xf>
    <xf numFmtId="2" fontId="13" fillId="0" borderId="0" xfId="0" applyNumberFormat="1" applyFont="1" applyAlignment="1">
      <alignment horizontal="center" vertical="center" wrapText="1"/>
    </xf>
    <xf numFmtId="49" fontId="6" fillId="0" borderId="0" xfId="0" applyNumberFormat="1" applyFont="1" applyAlignment="1">
      <alignment horizontal="center" vertical="top" wrapText="1"/>
    </xf>
    <xf numFmtId="0" fontId="7" fillId="0" borderId="1" xfId="2" applyNumberFormat="1" applyFont="1" applyFill="1" applyBorder="1" applyAlignment="1" applyProtection="1">
      <alignment horizontal="center" vertical="center" wrapText="1"/>
    </xf>
    <xf numFmtId="49" fontId="22" fillId="0" borderId="1" xfId="0" applyNumberFormat="1" applyFont="1" applyFill="1" applyBorder="1" applyAlignment="1" applyProtection="1">
      <alignment vertical="center" wrapText="1"/>
    </xf>
    <xf numFmtId="0" fontId="3" fillId="0" borderId="0" xfId="0" applyNumberFormat="1" applyFont="1" applyAlignment="1">
      <alignment vertical="center" wrapText="1"/>
    </xf>
    <xf numFmtId="0" fontId="4" fillId="0" borderId="1" xfId="0" applyNumberFormat="1" applyFont="1" applyBorder="1" applyAlignment="1">
      <alignment horizontal="center" vertical="center" wrapText="1"/>
    </xf>
    <xf numFmtId="0" fontId="13" fillId="0" borderId="1" xfId="0" applyNumberFormat="1" applyFont="1" applyBorder="1" applyAlignment="1">
      <alignment horizontal="left" vertical="center" wrapText="1"/>
    </xf>
    <xf numFmtId="0" fontId="78" fillId="0" borderId="1" xfId="0" applyNumberFormat="1" applyFont="1" applyFill="1" applyBorder="1" applyAlignment="1">
      <alignment horizontal="center" vertical="center" wrapText="1"/>
    </xf>
    <xf numFmtId="2" fontId="13" fillId="0" borderId="0" xfId="0" applyNumberFormat="1" applyFont="1" applyAlignment="1">
      <alignment horizontal="center" vertical="center" wrapText="1"/>
    </xf>
    <xf numFmtId="0" fontId="0" fillId="3" borderId="0" xfId="0" applyFont="1" applyFill="1" applyAlignment="1">
      <alignment horizontal="center" vertical="center" wrapText="1"/>
    </xf>
    <xf numFmtId="49" fontId="16" fillId="32" borderId="1" xfId="0" applyNumberFormat="1" applyFont="1" applyFill="1" applyBorder="1" applyAlignment="1">
      <alignment horizontal="center" vertical="center" wrapText="1"/>
    </xf>
    <xf numFmtId="49" fontId="14" fillId="32" borderId="1" xfId="0" applyNumberFormat="1" applyFont="1" applyFill="1" applyBorder="1" applyAlignment="1">
      <alignment horizontal="center" vertical="center" wrapText="1"/>
    </xf>
    <xf numFmtId="0" fontId="14" fillId="32" borderId="1" xfId="0" applyNumberFormat="1" applyFont="1" applyFill="1" applyBorder="1" applyAlignment="1">
      <alignment horizontal="center" vertical="center" wrapText="1"/>
    </xf>
    <xf numFmtId="49" fontId="6" fillId="0" borderId="1" xfId="0" applyNumberFormat="1" applyFont="1" applyBorder="1" applyAlignment="1">
      <alignment horizontal="center" vertical="center" wrapText="1"/>
    </xf>
    <xf numFmtId="2" fontId="76" fillId="0" borderId="0" xfId="0" applyNumberFormat="1" applyFont="1" applyAlignment="1">
      <alignment horizontal="right" vertical="center" wrapText="1"/>
    </xf>
    <xf numFmtId="0" fontId="81" fillId="0" borderId="0" xfId="0" applyNumberFormat="1" applyFont="1" applyFill="1" applyAlignment="1">
      <alignment horizontal="center" vertical="center" wrapText="1"/>
    </xf>
    <xf numFmtId="2" fontId="81" fillId="0" borderId="0" xfId="0" applyNumberFormat="1" applyFont="1" applyFill="1" applyAlignment="1">
      <alignment horizontal="center" vertical="center" wrapText="1"/>
    </xf>
    <xf numFmtId="2" fontId="13" fillId="0" borderId="0" xfId="0" applyNumberFormat="1" applyFont="1" applyAlignment="1">
      <alignment horizontal="center" vertical="center" wrapText="1"/>
    </xf>
    <xf numFmtId="0" fontId="13"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2" fontId="13" fillId="0" borderId="0" xfId="0" applyNumberFormat="1" applyFont="1" applyAlignment="1">
      <alignment horizontal="center" vertical="center" wrapText="1"/>
    </xf>
    <xf numFmtId="49" fontId="14" fillId="0" borderId="0" xfId="0" applyNumberFormat="1" applyFont="1" applyAlignment="1">
      <alignment horizontal="left" vertical="center" wrapText="1"/>
    </xf>
    <xf numFmtId="2" fontId="14" fillId="0" borderId="0" xfId="0" applyNumberFormat="1" applyFont="1" applyAlignment="1">
      <alignment vertical="center" wrapText="1"/>
    </xf>
    <xf numFmtId="49" fontId="66" fillId="0" borderId="1" xfId="682" applyNumberFormat="1" applyFont="1" applyFill="1" applyBorder="1" applyAlignment="1">
      <alignment horizontal="center" vertical="center" wrapText="1"/>
    </xf>
    <xf numFmtId="49" fontId="22" fillId="0" borderId="1" xfId="682" applyNumberFormat="1" applyFont="1" applyFill="1" applyBorder="1" applyAlignment="1">
      <alignment horizontal="left" vertical="center" wrapText="1"/>
    </xf>
    <xf numFmtId="2" fontId="0" fillId="0" borderId="0" xfId="0" applyNumberFormat="1" applyFill="1" applyAlignment="1">
      <alignment horizontal="center" vertical="center" wrapText="1"/>
    </xf>
    <xf numFmtId="0" fontId="3" fillId="0" borderId="1" xfId="0" applyNumberFormat="1" applyFont="1" applyBorder="1" applyAlignment="1">
      <alignment horizontal="center" vertical="center" wrapText="1"/>
    </xf>
    <xf numFmtId="0" fontId="14" fillId="0" borderId="1" xfId="0" applyNumberFormat="1"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wrapText="1"/>
    </xf>
    <xf numFmtId="0" fontId="0" fillId="0" borderId="0" xfId="0" applyBorder="1" applyAlignment="1">
      <alignment wrapText="1"/>
    </xf>
    <xf numFmtId="0" fontId="86" fillId="34" borderId="0" xfId="0" applyNumberFormat="1" applyFont="1" applyFill="1" applyAlignment="1">
      <alignment horizontal="center" vertical="center" wrapText="1"/>
    </xf>
    <xf numFmtId="0" fontId="81" fillId="34" borderId="0" xfId="0" applyFont="1" applyFill="1" applyAlignment="1">
      <alignment horizontal="center" vertical="center" wrapText="1"/>
    </xf>
    <xf numFmtId="0" fontId="86" fillId="34" borderId="31" xfId="0" applyNumberFormat="1" applyFont="1" applyFill="1" applyBorder="1" applyAlignment="1">
      <alignment vertical="center" wrapText="1"/>
    </xf>
    <xf numFmtId="2" fontId="86" fillId="34" borderId="0" xfId="0" applyNumberFormat="1" applyFont="1" applyFill="1" applyAlignment="1">
      <alignment horizontal="center" vertical="center" wrapText="1"/>
    </xf>
    <xf numFmtId="0" fontId="84" fillId="0" borderId="0" xfId="0" applyFont="1" applyAlignment="1">
      <alignment vertical="center"/>
    </xf>
    <xf numFmtId="0" fontId="0" fillId="0" borderId="28" xfId="0" applyBorder="1" applyAlignment="1">
      <alignment wrapText="1"/>
    </xf>
    <xf numFmtId="0" fontId="0" fillId="0" borderId="37" xfId="0" applyBorder="1" applyAlignment="1">
      <alignment wrapText="1"/>
    </xf>
    <xf numFmtId="0" fontId="0" fillId="0" borderId="37"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29" xfId="0" applyBorder="1" applyAlignment="1">
      <alignment wrapText="1"/>
    </xf>
    <xf numFmtId="0" fontId="0" fillId="0" borderId="24" xfId="0" applyBorder="1" applyAlignment="1">
      <alignment wrapText="1"/>
    </xf>
    <xf numFmtId="0" fontId="0" fillId="0" borderId="30" xfId="0" applyBorder="1" applyAlignment="1">
      <alignment wrapText="1"/>
    </xf>
    <xf numFmtId="0" fontId="14"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wrapText="1"/>
    </xf>
    <xf numFmtId="0" fontId="89" fillId="0" borderId="37" xfId="0" applyFont="1" applyBorder="1" applyAlignment="1">
      <alignment vertical="center"/>
    </xf>
    <xf numFmtId="0" fontId="3" fillId="0" borderId="3" xfId="0" applyNumberFormat="1" applyFont="1" applyBorder="1" applyAlignment="1">
      <alignment horizontal="center" vertical="center" wrapText="1"/>
    </xf>
    <xf numFmtId="0" fontId="3" fillId="0" borderId="21" xfId="0" applyNumberFormat="1" applyFont="1" applyBorder="1" applyAlignment="1">
      <alignment horizontal="center" vertical="center" wrapText="1"/>
    </xf>
    <xf numFmtId="0" fontId="3" fillId="0" borderId="23" xfId="0" applyNumberFormat="1" applyFont="1" applyBorder="1" applyAlignment="1">
      <alignment horizontal="center" vertical="center" wrapText="1"/>
    </xf>
    <xf numFmtId="0" fontId="4" fillId="0" borderId="23" xfId="0" applyNumberFormat="1" applyFont="1" applyBorder="1" applyAlignment="1">
      <alignment horizontal="center" vertical="center" wrapText="1"/>
    </xf>
    <xf numFmtId="0" fontId="3" fillId="0" borderId="22" xfId="0" applyNumberFormat="1" applyFont="1" applyBorder="1" applyAlignment="1">
      <alignment horizontal="center" vertical="center" wrapText="1"/>
    </xf>
    <xf numFmtId="0" fontId="4" fillId="0" borderId="22" xfId="0" applyNumberFormat="1" applyFont="1" applyBorder="1" applyAlignment="1">
      <alignment horizontal="center" vertical="center" wrapText="1"/>
    </xf>
    <xf numFmtId="173" fontId="4" fillId="0" borderId="1" xfId="0" applyNumberFormat="1" applyFont="1" applyBorder="1" applyAlignment="1">
      <alignment horizontal="center" vertical="center" wrapText="1"/>
    </xf>
    <xf numFmtId="0" fontId="12" fillId="0" borderId="0" xfId="0" applyFont="1" applyFill="1" applyAlignment="1">
      <alignment horizontal="left" vertical="center"/>
    </xf>
    <xf numFmtId="0" fontId="13" fillId="37" borderId="1" xfId="0" applyNumberFormat="1" applyFont="1" applyFill="1" applyBorder="1" applyAlignment="1">
      <alignment horizontal="center" vertical="center" wrapText="1"/>
    </xf>
    <xf numFmtId="2" fontId="12" fillId="37" borderId="1" xfId="0" applyNumberFormat="1" applyFont="1" applyFill="1" applyBorder="1" applyAlignment="1">
      <alignment horizontal="center" vertical="center" wrapText="1"/>
    </xf>
    <xf numFmtId="49" fontId="7" fillId="37" borderId="1" xfId="0" applyNumberFormat="1" applyFont="1" applyFill="1" applyBorder="1" applyAlignment="1">
      <alignment horizontal="center" vertical="top" wrapText="1"/>
    </xf>
    <xf numFmtId="49" fontId="7" fillId="37" borderId="1" xfId="0" applyNumberFormat="1" applyFont="1" applyFill="1" applyBorder="1" applyAlignment="1">
      <alignment horizontal="center" vertical="center" wrapText="1"/>
    </xf>
    <xf numFmtId="49" fontId="12" fillId="37" borderId="1" xfId="0" applyNumberFormat="1" applyFont="1" applyFill="1" applyBorder="1" applyAlignment="1">
      <alignment horizontal="center" vertical="center" wrapText="1"/>
    </xf>
    <xf numFmtId="0" fontId="12" fillId="37" borderId="1" xfId="0" applyNumberFormat="1" applyFont="1" applyFill="1" applyBorder="1" applyAlignment="1">
      <alignment horizontal="center" vertical="center" wrapText="1"/>
    </xf>
    <xf numFmtId="0" fontId="7" fillId="37" borderId="1" xfId="0" applyNumberFormat="1" applyFont="1" applyFill="1" applyBorder="1" applyAlignment="1">
      <alignment horizontal="center" vertical="center" wrapText="1"/>
    </xf>
    <xf numFmtId="2" fontId="13" fillId="0" borderId="1" xfId="0" applyNumberFormat="1" applyFont="1" applyBorder="1" applyAlignment="1">
      <alignment horizontal="right" vertical="center" wrapText="1"/>
    </xf>
    <xf numFmtId="2" fontId="13" fillId="0" borderId="1" xfId="0" applyNumberFormat="1" applyFont="1" applyFill="1" applyBorder="1" applyAlignment="1">
      <alignment horizontal="right" vertical="center" wrapText="1"/>
    </xf>
    <xf numFmtId="2" fontId="12" fillId="0" borderId="1" xfId="0" applyNumberFormat="1" applyFont="1" applyFill="1" applyBorder="1" applyAlignment="1">
      <alignment horizontal="right" vertical="center" wrapText="1"/>
    </xf>
    <xf numFmtId="2" fontId="13" fillId="0" borderId="0" xfId="0" applyNumberFormat="1" applyFont="1" applyAlignment="1">
      <alignment horizontal="right" vertical="center" wrapText="1"/>
    </xf>
    <xf numFmtId="0" fontId="14" fillId="0" borderId="0" xfId="0" applyNumberFormat="1" applyFont="1" applyAlignment="1">
      <alignment horizontal="center" vertical="center" wrapText="1"/>
    </xf>
    <xf numFmtId="49" fontId="6" fillId="0" borderId="1" xfId="0" applyNumberFormat="1" applyFont="1" applyFill="1" applyBorder="1" applyAlignment="1">
      <alignment horizontal="center" vertical="center" wrapText="1"/>
    </xf>
    <xf numFmtId="49" fontId="66"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left" vertical="center" wrapText="1"/>
    </xf>
    <xf numFmtId="0" fontId="4" fillId="0" borderId="1" xfId="0" applyNumberFormat="1" applyFont="1" applyFill="1" applyBorder="1" applyAlignment="1">
      <alignment vertical="center" wrapText="1"/>
    </xf>
    <xf numFmtId="0" fontId="4" fillId="0" borderId="41"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2" fontId="12" fillId="0" borderId="1" xfId="1" applyNumberFormat="1" applyFont="1" applyFill="1" applyBorder="1" applyAlignment="1">
      <alignment horizontal="right" vertical="center" wrapText="1"/>
    </xf>
    <xf numFmtId="49" fontId="66" fillId="0" borderId="1" xfId="0" applyNumberFormat="1" applyFont="1" applyFill="1" applyBorder="1" applyAlignment="1" applyProtection="1">
      <alignment horizontal="center" vertical="center" wrapText="1"/>
    </xf>
    <xf numFmtId="0" fontId="6" fillId="0" borderId="0" xfId="0" applyFont="1" applyAlignment="1">
      <alignment horizontal="right" vertical="center" wrapText="1"/>
    </xf>
    <xf numFmtId="2" fontId="12" fillId="0" borderId="1" xfId="0" applyNumberFormat="1" applyFont="1" applyBorder="1" applyAlignment="1">
      <alignment horizontal="center" vertical="center" wrapText="1"/>
    </xf>
    <xf numFmtId="0" fontId="13" fillId="0" borderId="0" xfId="0" applyFont="1" applyAlignment="1">
      <alignment horizontal="right" vertical="center" wrapText="1"/>
    </xf>
    <xf numFmtId="0" fontId="71" fillId="0" borderId="0" xfId="0" applyFont="1" applyFill="1" applyAlignment="1">
      <alignment horizontal="right" vertical="center" wrapText="1"/>
    </xf>
    <xf numFmtId="0" fontId="21" fillId="0" borderId="0" xfId="0" applyFont="1" applyFill="1" applyAlignment="1">
      <alignment wrapText="1"/>
    </xf>
    <xf numFmtId="0" fontId="7" fillId="0" borderId="1" xfId="0" applyNumberFormat="1" applyFont="1" applyFill="1" applyBorder="1" applyAlignment="1" applyProtection="1">
      <alignment horizontal="center" vertical="center" wrapText="1"/>
    </xf>
    <xf numFmtId="0" fontId="90" fillId="38" borderId="1" xfId="0" applyNumberFormat="1" applyFont="1" applyFill="1" applyBorder="1" applyAlignment="1">
      <alignment horizontal="center" vertical="center" wrapText="1"/>
    </xf>
    <xf numFmtId="0" fontId="82" fillId="38" borderId="1" xfId="0" applyNumberFormat="1" applyFont="1" applyFill="1" applyBorder="1" applyAlignment="1">
      <alignment horizontal="center" vertical="center" wrapText="1"/>
    </xf>
    <xf numFmtId="2" fontId="82" fillId="38" borderId="1" xfId="0" applyNumberFormat="1" applyFont="1" applyFill="1" applyBorder="1" applyAlignment="1">
      <alignment horizontal="center" vertical="center" wrapText="1"/>
    </xf>
    <xf numFmtId="49" fontId="7" fillId="0" borderId="1" xfId="873" applyNumberFormat="1" applyFont="1" applyFill="1" applyBorder="1" applyAlignment="1">
      <alignment horizontal="center" vertical="center" wrapText="1"/>
    </xf>
    <xf numFmtId="0" fontId="12" fillId="0" borderId="1" xfId="873" applyNumberFormat="1" applyFont="1" applyFill="1" applyBorder="1" applyAlignment="1">
      <alignment horizontal="center" vertical="center" wrapText="1"/>
    </xf>
    <xf numFmtId="49" fontId="12" fillId="0" borderId="1" xfId="634" applyNumberFormat="1" applyFont="1" applyBorder="1" applyAlignment="1">
      <alignment horizontal="left" vertical="center" wrapText="1"/>
    </xf>
    <xf numFmtId="49" fontId="7" fillId="0" borderId="3" xfId="634" applyNumberFormat="1" applyFont="1" applyBorder="1" applyAlignment="1">
      <alignment horizontal="center" vertical="center" wrapText="1"/>
    </xf>
    <xf numFmtId="0" fontId="12" fillId="0" borderId="0" xfId="0" applyFont="1" applyAlignment="1">
      <alignment horizontal="right" vertical="center" wrapText="1"/>
    </xf>
    <xf numFmtId="0" fontId="12" fillId="0" borderId="0" xfId="0" applyFont="1" applyFill="1" applyAlignment="1">
      <alignment horizontal="right" vertical="center" wrapText="1"/>
    </xf>
    <xf numFmtId="0" fontId="12" fillId="0" borderId="0" xfId="0" applyFont="1" applyFill="1" applyAlignment="1">
      <alignment horizontal="left" vertical="center" wrapText="1"/>
    </xf>
    <xf numFmtId="0" fontId="21" fillId="0" borderId="0" xfId="0" applyFont="1" applyFill="1" applyAlignment="1">
      <alignment horizontal="left" wrapText="1"/>
    </xf>
    <xf numFmtId="0" fontId="93" fillId="0" borderId="1" xfId="0" applyNumberFormat="1" applyFont="1" applyFill="1" applyBorder="1" applyAlignment="1">
      <alignment horizontal="center" vertical="center" wrapText="1"/>
    </xf>
    <xf numFmtId="49" fontId="22" fillId="0" borderId="1" xfId="904" applyNumberFormat="1" applyFont="1" applyFill="1" applyBorder="1" applyAlignment="1">
      <alignment horizontal="left" vertical="center" wrapText="1"/>
    </xf>
    <xf numFmtId="49" fontId="22" fillId="0" borderId="1" xfId="634" applyNumberFormat="1" applyFont="1" applyFill="1" applyBorder="1" applyAlignment="1">
      <alignment horizontal="left" vertical="center" wrapText="1"/>
    </xf>
    <xf numFmtId="49" fontId="66" fillId="0" borderId="1" xfId="796" applyNumberFormat="1" applyFont="1" applyFill="1" applyBorder="1" applyAlignment="1">
      <alignment horizontal="center" vertical="center" wrapText="1"/>
    </xf>
    <xf numFmtId="49" fontId="66" fillId="0" borderId="1" xfId="904" applyNumberFormat="1" applyFont="1" applyFill="1" applyBorder="1" applyAlignment="1">
      <alignment horizontal="center" vertical="center" wrapText="1"/>
    </xf>
    <xf numFmtId="0" fontId="22" fillId="0" borderId="1" xfId="904" applyNumberFormat="1" applyFont="1" applyFill="1" applyBorder="1" applyAlignment="1">
      <alignment horizontal="center" vertical="center" wrapText="1"/>
    </xf>
    <xf numFmtId="49" fontId="22" fillId="0" borderId="1" xfId="873" applyNumberFormat="1" applyFont="1" applyFill="1" applyBorder="1" applyAlignment="1">
      <alignment horizontal="left" vertical="center" wrapText="1"/>
    </xf>
    <xf numFmtId="49" fontId="66" fillId="0" borderId="1" xfId="873" applyNumberFormat="1" applyFont="1" applyFill="1" applyBorder="1" applyAlignment="1">
      <alignment horizontal="center" vertical="center" wrapText="1"/>
    </xf>
    <xf numFmtId="0" fontId="22" fillId="0" borderId="1" xfId="873" applyNumberFormat="1" applyFont="1" applyFill="1" applyBorder="1" applyAlignment="1">
      <alignment horizontal="center" vertical="center" wrapText="1"/>
    </xf>
    <xf numFmtId="0" fontId="12" fillId="0" borderId="1" xfId="904" applyNumberFormat="1" applyFont="1" applyFill="1" applyBorder="1" applyAlignment="1">
      <alignment horizontal="center" vertical="center" wrapText="1"/>
    </xf>
    <xf numFmtId="49" fontId="12" fillId="0" borderId="1" xfId="1" applyNumberFormat="1" applyFont="1" applyFill="1" applyBorder="1" applyAlignment="1">
      <alignment vertical="center" wrapText="1"/>
    </xf>
    <xf numFmtId="49" fontId="22" fillId="0" borderId="1" xfId="903" applyNumberFormat="1" applyFont="1" applyFill="1" applyBorder="1" applyAlignment="1">
      <alignment horizontal="left" vertical="center" wrapText="1"/>
    </xf>
    <xf numFmtId="49" fontId="12" fillId="0" borderId="1" xfId="634" applyNumberFormat="1" applyFont="1" applyFill="1" applyBorder="1" applyAlignment="1">
      <alignment horizontal="left" vertical="center" wrapText="1"/>
    </xf>
    <xf numFmtId="0" fontId="21" fillId="0" borderId="0" xfId="0" applyFont="1" applyFill="1" applyAlignment="1">
      <alignment horizontal="left"/>
    </xf>
    <xf numFmtId="49" fontId="22" fillId="2" borderId="1" xfId="0" applyNumberFormat="1" applyFont="1" applyFill="1" applyBorder="1" applyAlignment="1">
      <alignment horizontal="center" vertical="center" wrapText="1"/>
    </xf>
    <xf numFmtId="0" fontId="12" fillId="0" borderId="1" xfId="683"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13" fillId="0" borderId="0" xfId="0" applyNumberFormat="1" applyFont="1" applyAlignment="1">
      <alignment horizontal="center" vertical="center" wrapText="1"/>
    </xf>
    <xf numFmtId="2" fontId="15" fillId="0" borderId="0" xfId="0" applyNumberFormat="1" applyFont="1" applyFill="1" applyAlignment="1">
      <alignment horizontal="right" vertical="center" wrapText="1"/>
    </xf>
    <xf numFmtId="49" fontId="7" fillId="0" borderId="1" xfId="683" applyNumberFormat="1" applyFont="1" applyFill="1" applyBorder="1" applyAlignment="1">
      <alignment horizontal="center" vertical="center" wrapText="1"/>
    </xf>
    <xf numFmtId="49" fontId="12" fillId="0" borderId="3" xfId="0" applyNumberFormat="1" applyFont="1" applyFill="1" applyBorder="1" applyAlignment="1">
      <alignment horizontal="left" vertical="center" wrapText="1"/>
    </xf>
    <xf numFmtId="2" fontId="13" fillId="0" borderId="2" xfId="0" applyNumberFormat="1" applyFont="1" applyFill="1" applyBorder="1" applyAlignment="1">
      <alignment horizontal="center" vertical="center" wrapText="1"/>
    </xf>
    <xf numFmtId="49" fontId="22" fillId="5" borderId="1" xfId="0" applyNumberFormat="1" applyFont="1" applyFill="1" applyBorder="1" applyAlignment="1">
      <alignment horizontal="center" vertical="center" wrapText="1"/>
    </xf>
    <xf numFmtId="4" fontId="14" fillId="0" borderId="3" xfId="0" applyNumberFormat="1" applyFont="1" applyBorder="1" applyAlignment="1">
      <alignment horizontal="center" vertical="center" wrapText="1"/>
    </xf>
    <xf numFmtId="0" fontId="22" fillId="0" borderId="2"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83" fillId="0" borderId="1" xfId="0" applyNumberFormat="1" applyFont="1" applyFill="1" applyBorder="1" applyAlignment="1">
      <alignment horizontal="left" vertical="center" wrapText="1"/>
    </xf>
    <xf numFmtId="0" fontId="4" fillId="0" borderId="25" xfId="0" applyNumberFormat="1" applyFont="1" applyBorder="1" applyAlignment="1">
      <alignment horizontal="center" vertical="center" wrapText="1"/>
    </xf>
    <xf numFmtId="0" fontId="14" fillId="0" borderId="0" xfId="0" applyNumberFormat="1" applyFont="1" applyAlignment="1">
      <alignment horizontal="right" vertical="center" wrapText="1"/>
    </xf>
    <xf numFmtId="2" fontId="86" fillId="34" borderId="0" xfId="0" applyNumberFormat="1" applyFont="1" applyFill="1" applyAlignment="1">
      <alignment horizontal="right" vertical="center" wrapText="1"/>
    </xf>
    <xf numFmtId="49" fontId="12" fillId="0" borderId="1" xfId="0" applyNumberFormat="1" applyFont="1" applyFill="1" applyBorder="1" applyAlignment="1" applyProtection="1">
      <alignment vertical="center" wrapText="1"/>
    </xf>
    <xf numFmtId="49" fontId="16" fillId="0" borderId="1" xfId="0" applyNumberFormat="1" applyFont="1" applyFill="1" applyBorder="1" applyAlignment="1">
      <alignment vertical="center" wrapText="1"/>
    </xf>
    <xf numFmtId="49" fontId="92" fillId="3" borderId="1" xfId="0" applyNumberFormat="1" applyFont="1" applyFill="1" applyBorder="1" applyAlignment="1">
      <alignment horizontal="center" vertical="center" wrapText="1"/>
    </xf>
    <xf numFmtId="49" fontId="93" fillId="3" borderId="1" xfId="0" applyNumberFormat="1" applyFont="1" applyFill="1" applyBorder="1" applyAlignment="1">
      <alignment horizontal="center" vertical="center" wrapText="1"/>
    </xf>
    <xf numFmtId="0" fontId="96" fillId="0" borderId="0" xfId="0" applyFont="1" applyFill="1" applyAlignment="1">
      <alignment horizontal="center" vertical="center" wrapText="1"/>
    </xf>
    <xf numFmtId="49" fontId="66" fillId="32" borderId="1" xfId="0" applyNumberFormat="1" applyFont="1" applyFill="1" applyBorder="1" applyAlignment="1">
      <alignment horizontal="center" vertical="center" wrapText="1"/>
    </xf>
    <xf numFmtId="49" fontId="22" fillId="32" borderId="1" xfId="0" applyNumberFormat="1" applyFont="1" applyFill="1" applyBorder="1" applyAlignment="1">
      <alignment horizontal="center" vertical="center" wrapText="1"/>
    </xf>
    <xf numFmtId="0" fontId="93" fillId="32" borderId="1" xfId="0" applyNumberFormat="1" applyFont="1" applyFill="1" applyBorder="1" applyAlignment="1">
      <alignment horizontal="center" vertical="center" wrapText="1"/>
    </xf>
    <xf numFmtId="2" fontId="97" fillId="0" borderId="1" xfId="0" applyNumberFormat="1" applyFont="1" applyFill="1" applyBorder="1" applyAlignment="1">
      <alignment horizontal="center" vertical="center" wrapText="1"/>
    </xf>
    <xf numFmtId="0" fontId="97" fillId="0" borderId="1" xfId="0" applyNumberFormat="1" applyFont="1" applyFill="1" applyBorder="1" applyAlignment="1">
      <alignment horizontal="center" vertical="center" wrapText="1"/>
    </xf>
    <xf numFmtId="0" fontId="97" fillId="0" borderId="1" xfId="2" applyNumberFormat="1" applyFont="1" applyFill="1" applyBorder="1" applyAlignment="1" applyProtection="1">
      <alignment horizontal="center" vertical="center" wrapText="1"/>
    </xf>
    <xf numFmtId="0" fontId="97" fillId="0" borderId="1" xfId="1" applyNumberFormat="1" applyFont="1" applyFill="1" applyBorder="1" applyAlignment="1" applyProtection="1">
      <alignment horizontal="center" vertical="center" wrapText="1"/>
    </xf>
    <xf numFmtId="2" fontId="97" fillId="0" borderId="1" xfId="1" applyNumberFormat="1" applyFont="1" applyFill="1" applyBorder="1" applyAlignment="1" applyProtection="1">
      <alignment horizontal="center" vertical="center" wrapText="1"/>
    </xf>
    <xf numFmtId="0" fontId="93" fillId="0" borderId="1" xfId="1" applyNumberFormat="1" applyFont="1" applyFill="1" applyBorder="1" applyAlignment="1" applyProtection="1">
      <alignment horizontal="center" vertical="center" wrapText="1"/>
    </xf>
    <xf numFmtId="2" fontId="76" fillId="0" borderId="0" xfId="0" applyNumberFormat="1" applyFont="1" applyFill="1" applyAlignment="1">
      <alignment horizontal="right" wrapText="1"/>
    </xf>
    <xf numFmtId="0" fontId="97" fillId="0" borderId="1" xfId="1" applyNumberFormat="1" applyFont="1" applyFill="1" applyBorder="1" applyAlignment="1">
      <alignment horizontal="center" vertical="center" wrapText="1"/>
    </xf>
    <xf numFmtId="2" fontId="97" fillId="0" borderId="1" xfId="1" applyNumberFormat="1" applyFont="1" applyFill="1" applyBorder="1" applyAlignment="1">
      <alignment horizontal="center" vertical="center" wrapText="1"/>
    </xf>
    <xf numFmtId="0" fontId="20" fillId="32" borderId="1" xfId="0" applyFont="1" applyFill="1" applyBorder="1" applyAlignment="1">
      <alignment horizontal="center" vertical="center"/>
    </xf>
    <xf numFmtId="49" fontId="12" fillId="0" borderId="1" xfId="904" applyNumberFormat="1" applyFont="1" applyFill="1" applyBorder="1" applyAlignment="1">
      <alignment horizontal="left" vertical="center" wrapText="1"/>
    </xf>
    <xf numFmtId="2" fontId="12" fillId="0" borderId="1" xfId="906" applyNumberFormat="1" applyFont="1" applyFill="1" applyBorder="1" applyAlignment="1">
      <alignment horizontal="center" vertical="center" wrapText="1"/>
    </xf>
    <xf numFmtId="49" fontId="76" fillId="0" borderId="1" xfId="3" applyNumberFormat="1" applyFont="1" applyFill="1" applyBorder="1" applyAlignment="1">
      <alignment vertical="center" wrapText="1"/>
    </xf>
    <xf numFmtId="49" fontId="14" fillId="0" borderId="1" xfId="0" applyNumberFormat="1" applyFont="1" applyFill="1" applyBorder="1" applyAlignment="1">
      <alignment vertical="center" wrapText="1"/>
    </xf>
    <xf numFmtId="0" fontId="9" fillId="0" borderId="3" xfId="0" applyNumberFormat="1" applyFont="1" applyFill="1" applyBorder="1" applyAlignment="1">
      <alignment horizontal="center" vertical="center" wrapText="1"/>
    </xf>
    <xf numFmtId="2" fontId="98" fillId="0" borderId="1" xfId="0" applyNumberFormat="1" applyFont="1" applyFill="1" applyBorder="1" applyAlignment="1">
      <alignment horizontal="center" vertical="center" wrapText="1"/>
    </xf>
    <xf numFmtId="0" fontId="98" fillId="0" borderId="1" xfId="0" applyNumberFormat="1" applyFont="1" applyFill="1" applyBorder="1" applyAlignment="1">
      <alignment horizontal="center" vertical="center" wrapText="1"/>
    </xf>
    <xf numFmtId="0" fontId="66" fillId="0" borderId="1" xfId="0" applyNumberFormat="1" applyFont="1" applyFill="1" applyBorder="1" applyAlignment="1" applyProtection="1">
      <alignment horizontal="center" vertical="center" wrapText="1"/>
    </xf>
    <xf numFmtId="49" fontId="66" fillId="31" borderId="1" xfId="0" applyNumberFormat="1" applyFont="1" applyFill="1" applyBorder="1" applyAlignment="1">
      <alignment horizontal="center" vertical="center" wrapText="1"/>
    </xf>
    <xf numFmtId="0" fontId="7" fillId="31" borderId="1" xfId="0" applyNumberFormat="1" applyFont="1" applyFill="1" applyBorder="1" applyAlignment="1">
      <alignment horizontal="center" vertical="center" wrapText="1"/>
    </xf>
    <xf numFmtId="0" fontId="12" fillId="0" borderId="1" xfId="634" applyFont="1" applyBorder="1" applyAlignment="1">
      <alignment horizontal="center" vertical="center" wrapText="1"/>
    </xf>
    <xf numFmtId="0" fontId="7" fillId="0" borderId="1" xfId="634" applyNumberFormat="1" applyFont="1" applyFill="1" applyBorder="1" applyAlignment="1">
      <alignment horizontal="center" vertical="center" wrapText="1"/>
    </xf>
    <xf numFmtId="0" fontId="7" fillId="0" borderId="3" xfId="634" applyNumberFormat="1" applyFont="1" applyFill="1" applyBorder="1" applyAlignment="1">
      <alignment horizontal="center" vertical="center" wrapText="1"/>
    </xf>
    <xf numFmtId="49" fontId="22" fillId="0" borderId="2" xfId="0" applyNumberFormat="1" applyFont="1" applyFill="1" applyBorder="1" applyAlignment="1">
      <alignment vertical="center" wrapText="1"/>
    </xf>
    <xf numFmtId="0" fontId="6" fillId="0" borderId="2" xfId="0" applyNumberFormat="1" applyFont="1" applyFill="1" applyBorder="1" applyAlignment="1">
      <alignment horizontal="center" vertical="center" wrapText="1"/>
    </xf>
    <xf numFmtId="49" fontId="66" fillId="0" borderId="5" xfId="0" applyNumberFormat="1" applyFont="1" applyFill="1" applyBorder="1" applyAlignment="1">
      <alignment horizontal="center" vertical="center" wrapText="1"/>
    </xf>
    <xf numFmtId="49" fontId="66" fillId="5" borderId="1" xfId="1" applyNumberFormat="1" applyFont="1" applyFill="1" applyBorder="1" applyAlignment="1">
      <alignment horizontal="center" vertical="center" wrapText="1"/>
    </xf>
    <xf numFmtId="2" fontId="12" fillId="0" borderId="2" xfId="0" applyNumberFormat="1" applyFont="1" applyFill="1" applyBorder="1" applyAlignment="1">
      <alignment horizontal="center" vertical="center" wrapText="1"/>
    </xf>
    <xf numFmtId="0" fontId="7" fillId="0" borderId="1" xfId="1" applyNumberFormat="1" applyFont="1" applyFill="1" applyBorder="1" applyAlignment="1">
      <alignment horizontal="center" vertical="center" wrapText="1"/>
    </xf>
    <xf numFmtId="49" fontId="22" fillId="5" borderId="1" xfId="0" applyNumberFormat="1" applyFont="1" applyFill="1" applyBorder="1" applyAlignment="1">
      <alignment horizontal="left" vertical="center" wrapText="1"/>
    </xf>
    <xf numFmtId="49" fontId="7" fillId="0" borderId="1" xfId="1" applyNumberFormat="1" applyFont="1" applyFill="1" applyBorder="1" applyAlignment="1">
      <alignment horizontal="left" vertical="center" wrapText="1"/>
    </xf>
    <xf numFmtId="49" fontId="22" fillId="0" borderId="2" xfId="0" applyNumberFormat="1" applyFont="1" applyFill="1" applyBorder="1" applyAlignment="1" applyProtection="1">
      <alignment vertical="center" wrapText="1"/>
    </xf>
    <xf numFmtId="0" fontId="66" fillId="0" borderId="2" xfId="0" applyNumberFormat="1" applyFont="1" applyFill="1" applyBorder="1" applyAlignment="1">
      <alignment horizontal="center" vertical="center" wrapText="1"/>
    </xf>
    <xf numFmtId="49" fontId="12" fillId="0" borderId="1" xfId="1" applyNumberFormat="1" applyFont="1" applyFill="1" applyBorder="1" applyAlignment="1">
      <alignment horizontal="left" vertical="top" wrapText="1"/>
    </xf>
    <xf numFmtId="49" fontId="76" fillId="0" borderId="1" xfId="0" applyNumberFormat="1" applyFont="1" applyFill="1" applyBorder="1" applyAlignment="1">
      <alignment vertical="center" wrapText="1"/>
    </xf>
    <xf numFmtId="0" fontId="12" fillId="0" borderId="3" xfId="634" applyNumberFormat="1" applyFont="1" applyFill="1" applyBorder="1" applyAlignment="1">
      <alignment horizontal="center" vertical="center" wrapText="1"/>
    </xf>
    <xf numFmtId="2" fontId="12" fillId="0" borderId="3" xfId="1" applyNumberFormat="1" applyFont="1" applyFill="1" applyBorder="1" applyAlignment="1">
      <alignment horizontal="center" vertical="center" wrapText="1"/>
    </xf>
    <xf numFmtId="49" fontId="12" fillId="0" borderId="1" xfId="4" applyNumberFormat="1" applyFont="1" applyFill="1" applyBorder="1" applyAlignment="1">
      <alignment vertical="top" wrapText="1"/>
    </xf>
    <xf numFmtId="2" fontId="22" fillId="0" borderId="1" xfId="1" applyNumberFormat="1" applyFont="1" applyFill="1" applyBorder="1" applyAlignment="1">
      <alignment horizontal="center" vertical="center" wrapText="1"/>
    </xf>
    <xf numFmtId="2" fontId="97" fillId="0" borderId="1" xfId="902" applyNumberFormat="1" applyFont="1" applyFill="1" applyBorder="1" applyAlignment="1">
      <alignment horizontal="center" vertical="center" wrapText="1"/>
    </xf>
    <xf numFmtId="0" fontId="0" fillId="0" borderId="0" xfId="0" applyFont="1" applyAlignment="1">
      <alignment horizontal="right" vertical="center" wrapText="1"/>
    </xf>
    <xf numFmtId="0" fontId="96" fillId="0" borderId="0" xfId="0" applyFont="1" applyFill="1" applyAlignment="1">
      <alignment horizontal="right" vertical="center" wrapText="1"/>
    </xf>
    <xf numFmtId="0" fontId="5" fillId="0" borderId="0" xfId="0" applyFont="1" applyFill="1" applyAlignment="1">
      <alignment horizontal="right" vertical="center" wrapText="1"/>
    </xf>
    <xf numFmtId="0" fontId="21" fillId="0" borderId="0" xfId="0" applyNumberFormat="1" applyFont="1" applyAlignment="1">
      <alignment horizontal="right" vertical="center" wrapText="1"/>
    </xf>
    <xf numFmtId="0" fontId="5" fillId="0" borderId="0" xfId="0" applyNumberFormat="1" applyFont="1" applyFill="1" applyAlignment="1">
      <alignment horizontal="right" vertical="center" wrapText="1"/>
    </xf>
    <xf numFmtId="0" fontId="0" fillId="0" borderId="0" xfId="0" applyAlignment="1">
      <alignment horizontal="right" wrapText="1"/>
    </xf>
    <xf numFmtId="0" fontId="22" fillId="0" borderId="0" xfId="0" applyNumberFormat="1" applyFont="1" applyAlignment="1">
      <alignment horizontal="right" vertical="center" wrapText="1"/>
    </xf>
    <xf numFmtId="2" fontId="97" fillId="0" borderId="1" xfId="0" applyNumberFormat="1" applyFont="1" applyFill="1" applyBorder="1" applyAlignment="1">
      <alignment horizontal="right" vertical="center" wrapText="1"/>
    </xf>
    <xf numFmtId="2" fontId="97" fillId="0" borderId="1" xfId="1" applyNumberFormat="1" applyFont="1" applyFill="1" applyBorder="1" applyAlignment="1">
      <alignment horizontal="right" vertical="center" wrapText="1"/>
    </xf>
    <xf numFmtId="2" fontId="98" fillId="0" borderId="1" xfId="0" applyNumberFormat="1" applyFont="1" applyBorder="1" applyAlignment="1">
      <alignment horizontal="right" vertical="center" wrapText="1"/>
    </xf>
    <xf numFmtId="2" fontId="13" fillId="0" borderId="2" xfId="0" applyNumberFormat="1" applyFont="1" applyFill="1" applyBorder="1" applyAlignment="1">
      <alignment horizontal="right" vertical="center" wrapText="1"/>
    </xf>
    <xf numFmtId="2" fontId="12" fillId="0" borderId="1" xfId="0" applyNumberFormat="1" applyFont="1" applyBorder="1" applyAlignment="1">
      <alignment horizontal="right" vertical="center" wrapText="1"/>
    </xf>
    <xf numFmtId="2" fontId="12" fillId="0" borderId="2" xfId="0" applyNumberFormat="1" applyFont="1" applyFill="1" applyBorder="1" applyAlignment="1">
      <alignment horizontal="right" vertical="center" wrapText="1"/>
    </xf>
    <xf numFmtId="0" fontId="4" fillId="0" borderId="2" xfId="0" applyNumberFormat="1" applyFont="1" applyBorder="1" applyAlignment="1">
      <alignment horizontal="center" vertical="center" wrapText="1"/>
    </xf>
    <xf numFmtId="49" fontId="7" fillId="0" borderId="1" xfId="0" applyNumberFormat="1" applyFont="1" applyFill="1" applyBorder="1" applyAlignment="1">
      <alignment horizontal="center" vertical="top" wrapText="1"/>
    </xf>
    <xf numFmtId="49" fontId="22" fillId="0" borderId="1" xfId="0" applyNumberFormat="1" applyFont="1" applyFill="1" applyBorder="1" applyAlignment="1">
      <alignment vertical="center" wrapText="1"/>
    </xf>
    <xf numFmtId="49" fontId="7" fillId="0" borderId="3" xfId="0" applyNumberFormat="1" applyFont="1" applyFill="1" applyBorder="1" applyAlignment="1">
      <alignment horizontal="center" vertical="top" wrapText="1"/>
    </xf>
    <xf numFmtId="49" fontId="66" fillId="0" borderId="2" xfId="0" applyNumberFormat="1" applyFont="1" applyFill="1" applyBorder="1" applyAlignment="1">
      <alignment horizontal="center" vertical="center" wrapText="1"/>
    </xf>
    <xf numFmtId="49" fontId="66"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4" fillId="0" borderId="0" xfId="0" applyNumberFormat="1" applyFont="1" applyAlignment="1">
      <alignment horizontal="center" vertical="center" wrapText="1"/>
    </xf>
    <xf numFmtId="49" fontId="12" fillId="0" borderId="2"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49" fontId="12" fillId="0" borderId="3" xfId="0" applyNumberFormat="1" applyFont="1" applyFill="1" applyBorder="1" applyAlignment="1">
      <alignment horizontal="center" vertical="top" wrapText="1"/>
    </xf>
    <xf numFmtId="49" fontId="7" fillId="0" borderId="1" xfId="0" applyNumberFormat="1" applyFont="1" applyFill="1" applyBorder="1" applyAlignment="1">
      <alignment horizontal="center" vertical="center" wrapText="1"/>
    </xf>
    <xf numFmtId="0" fontId="22" fillId="0" borderId="0" xfId="0" applyNumberFormat="1" applyFont="1" applyAlignment="1">
      <alignment horizontal="center" vertical="center" wrapText="1"/>
    </xf>
    <xf numFmtId="0" fontId="12" fillId="0" borderId="1" xfId="0" applyNumberFormat="1" applyFont="1" applyBorder="1" applyAlignment="1">
      <alignment horizontal="center" vertical="center" wrapText="1"/>
    </xf>
    <xf numFmtId="49" fontId="12" fillId="5" borderId="1" xfId="1" applyNumberFormat="1" applyFont="1" applyFill="1" applyBorder="1" applyAlignment="1">
      <alignment horizontal="center" vertical="top" wrapText="1"/>
    </xf>
    <xf numFmtId="0" fontId="74" fillId="5" borderId="1" xfId="1" applyNumberFormat="1" applyFont="1" applyFill="1" applyBorder="1" applyAlignment="1">
      <alignment horizontal="center" vertical="center" wrapText="1"/>
    </xf>
    <xf numFmtId="2" fontId="15" fillId="0" borderId="1" xfId="0" applyNumberFormat="1" applyFont="1" applyFill="1" applyBorder="1" applyAlignment="1">
      <alignment horizontal="center" vertical="center" wrapText="1"/>
    </xf>
    <xf numFmtId="0" fontId="73" fillId="0" borderId="1" xfId="0" applyNumberFormat="1" applyFont="1" applyFill="1" applyBorder="1" applyAlignment="1">
      <alignment horizontal="center" vertical="center" wrapText="1"/>
    </xf>
    <xf numFmtId="0" fontId="74" fillId="0" borderId="1" xfId="0" applyNumberFormat="1" applyFont="1" applyFill="1" applyBorder="1" applyAlignment="1">
      <alignment horizontal="center" vertical="center" wrapText="1"/>
    </xf>
    <xf numFmtId="0" fontId="15" fillId="0" borderId="3" xfId="634" applyNumberFormat="1" applyFont="1" applyFill="1" applyBorder="1" applyAlignment="1">
      <alignment horizontal="center" vertical="center" wrapText="1"/>
    </xf>
    <xf numFmtId="2" fontId="15" fillId="0" borderId="3" xfId="1" applyNumberFormat="1" applyFont="1" applyFill="1" applyBorder="1" applyAlignment="1">
      <alignment horizontal="center" vertical="center" wrapText="1"/>
    </xf>
    <xf numFmtId="0" fontId="74" fillId="0" borderId="1" xfId="1" applyNumberFormat="1" applyFont="1" applyFill="1" applyBorder="1" applyAlignment="1" applyProtection="1">
      <alignment horizontal="center" vertical="center" wrapText="1"/>
    </xf>
    <xf numFmtId="2" fontId="15"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pplyProtection="1">
      <alignment horizontal="center" vertical="center" wrapText="1"/>
    </xf>
    <xf numFmtId="0" fontId="15" fillId="0" borderId="1" xfId="1" applyNumberFormat="1" applyFont="1" applyFill="1" applyBorder="1" applyAlignment="1">
      <alignment horizontal="center" vertical="center" wrapText="1"/>
    </xf>
    <xf numFmtId="2" fontId="15" fillId="0" borderId="1" xfId="1" applyNumberFormat="1" applyFont="1" applyFill="1" applyBorder="1" applyAlignment="1">
      <alignment horizontal="center" vertical="center" wrapText="1"/>
    </xf>
    <xf numFmtId="2" fontId="15" fillId="0" borderId="1" xfId="906" applyNumberFormat="1" applyFont="1" applyFill="1" applyBorder="1" applyAlignment="1">
      <alignment horizontal="center" vertical="center" wrapText="1"/>
    </xf>
    <xf numFmtId="2" fontId="15" fillId="0" borderId="1" xfId="902" applyNumberFormat="1" applyFont="1" applyFill="1" applyBorder="1" applyAlignment="1">
      <alignment horizontal="center" vertical="center" wrapText="1"/>
    </xf>
    <xf numFmtId="0" fontId="100"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2" fontId="12" fillId="0" borderId="0" xfId="0" applyNumberFormat="1" applyFont="1" applyFill="1" applyAlignment="1">
      <alignment horizontal="right" vertical="center" wrapText="1"/>
    </xf>
    <xf numFmtId="0" fontId="0" fillId="0" borderId="0" xfId="0" applyFont="1" applyAlignment="1">
      <alignment wrapText="1"/>
    </xf>
    <xf numFmtId="0" fontId="13" fillId="3" borderId="0" xfId="0" applyFont="1" applyFill="1" applyAlignment="1">
      <alignment horizontal="center" vertical="center" wrapText="1"/>
    </xf>
    <xf numFmtId="0" fontId="13" fillId="0" borderId="0" xfId="0" applyNumberFormat="1" applyFont="1" applyAlignment="1">
      <alignment horizontal="right" vertical="center" wrapText="1"/>
    </xf>
    <xf numFmtId="0" fontId="13" fillId="0" borderId="0" xfId="0" applyFont="1" applyAlignment="1">
      <alignment wrapText="1"/>
    </xf>
    <xf numFmtId="2" fontId="15" fillId="0" borderId="1" xfId="0" applyNumberFormat="1" applyFont="1" applyFill="1" applyBorder="1" applyAlignment="1">
      <alignment horizontal="right" vertical="center" wrapText="1"/>
    </xf>
    <xf numFmtId="49" fontId="66" fillId="5" borderId="1" xfId="655" applyNumberFormat="1" applyFont="1" applyFill="1" applyBorder="1" applyAlignment="1">
      <alignment horizontal="center" vertical="center" wrapText="1"/>
    </xf>
    <xf numFmtId="0" fontId="93" fillId="5" borderId="1" xfId="655" applyNumberFormat="1" applyFont="1" applyFill="1" applyBorder="1" applyAlignment="1">
      <alignment horizontal="center" vertical="center" wrapText="1"/>
    </xf>
    <xf numFmtId="2" fontId="97" fillId="0" borderId="1" xfId="906" applyNumberFormat="1" applyFont="1" applyFill="1" applyBorder="1" applyAlignment="1">
      <alignment horizontal="center" vertical="center" wrapText="1"/>
    </xf>
    <xf numFmtId="0" fontId="0" fillId="0" borderId="0" xfId="0" applyFill="1" applyAlignment="1">
      <alignment wrapText="1"/>
    </xf>
    <xf numFmtId="0" fontId="93" fillId="4" borderId="1" xfId="655" applyFont="1" applyFill="1" applyBorder="1" applyAlignment="1">
      <alignment horizontal="center" vertical="center" wrapText="1"/>
    </xf>
    <xf numFmtId="49" fontId="66" fillId="0" borderId="1" xfId="655" applyNumberFormat="1" applyFont="1" applyFill="1" applyBorder="1" applyAlignment="1">
      <alignment horizontal="center" vertical="center" wrapText="1"/>
    </xf>
    <xf numFmtId="2" fontId="93" fillId="0" borderId="1" xfId="0" applyNumberFormat="1" applyFont="1" applyFill="1" applyBorder="1" applyAlignment="1">
      <alignment horizontal="center" vertical="center" wrapText="1"/>
    </xf>
    <xf numFmtId="0" fontId="93" fillId="0" borderId="1" xfId="0" applyFont="1" applyFill="1" applyBorder="1" applyAlignment="1">
      <alignment horizontal="center" vertical="center" wrapText="1"/>
    </xf>
    <xf numFmtId="49" fontId="7" fillId="0" borderId="1" xfId="655" applyNumberFormat="1" applyFont="1" applyFill="1" applyBorder="1" applyAlignment="1">
      <alignment horizontal="center" vertical="center" wrapText="1"/>
    </xf>
    <xf numFmtId="0" fontId="97" fillId="0" borderId="1" xfId="655" applyNumberFormat="1" applyFont="1" applyFill="1" applyBorder="1" applyAlignment="1">
      <alignment horizontal="center" vertical="center" wrapText="1"/>
    </xf>
    <xf numFmtId="0" fontId="0" fillId="0" borderId="0" xfId="0" applyFill="1"/>
    <xf numFmtId="0" fontId="97" fillId="0" borderId="1" xfId="655" applyFont="1" applyFill="1" applyBorder="1" applyAlignment="1">
      <alignment horizontal="center" vertical="center" wrapText="1"/>
    </xf>
    <xf numFmtId="0" fontId="97" fillId="0" borderId="1" xfId="3" applyNumberFormat="1" applyFont="1" applyFill="1" applyBorder="1" applyAlignment="1">
      <alignment horizontal="center" vertical="center" wrapText="1"/>
    </xf>
    <xf numFmtId="0" fontId="97" fillId="0" borderId="1" xfId="3" applyFont="1" applyFill="1" applyBorder="1" applyAlignment="1">
      <alignment horizontal="center" vertical="center" wrapText="1"/>
    </xf>
    <xf numFmtId="49" fontId="12" fillId="0" borderId="1" xfId="3" applyNumberFormat="1" applyFont="1" applyFill="1" applyBorder="1" applyAlignment="1">
      <alignment horizontal="center" vertical="center" wrapText="1"/>
    </xf>
    <xf numFmtId="0" fontId="95" fillId="0" borderId="1" xfId="0" applyNumberFormat="1" applyFont="1" applyFill="1" applyBorder="1" applyAlignment="1">
      <alignment horizontal="center" vertical="center" wrapText="1"/>
    </xf>
    <xf numFmtId="0" fontId="97" fillId="0" borderId="3" xfId="3" applyFont="1" applyFill="1" applyBorder="1" applyAlignment="1">
      <alignment horizontal="center" vertical="center" wrapText="1"/>
    </xf>
    <xf numFmtId="0" fontId="98" fillId="0" borderId="1" xfId="0" applyNumberFormat="1" applyFont="1" applyBorder="1" applyAlignment="1">
      <alignment horizontal="center" vertical="center" wrapText="1"/>
    </xf>
    <xf numFmtId="0" fontId="9" fillId="0" borderId="3" xfId="0" applyFont="1" applyFill="1" applyBorder="1" applyAlignment="1">
      <alignment horizontal="center" vertical="center" wrapText="1"/>
    </xf>
    <xf numFmtId="0" fontId="98" fillId="0" borderId="1" xfId="0" applyFont="1" applyFill="1" applyBorder="1" applyAlignment="1">
      <alignment horizontal="center" vertical="center" wrapText="1"/>
    </xf>
    <xf numFmtId="0" fontId="97" fillId="0" borderId="3" xfId="634" applyFont="1" applyFill="1" applyBorder="1" applyAlignment="1">
      <alignment horizontal="center" vertical="center" wrapText="1"/>
    </xf>
    <xf numFmtId="0" fontId="97" fillId="0" borderId="1" xfId="634" applyNumberFormat="1" applyFont="1" applyFill="1" applyBorder="1" applyAlignment="1">
      <alignment horizontal="center" vertical="center" wrapText="1"/>
    </xf>
    <xf numFmtId="0" fontId="93" fillId="0" borderId="1" xfId="634" applyNumberFormat="1" applyFont="1" applyFill="1" applyBorder="1" applyAlignment="1">
      <alignment horizontal="center" vertical="center" wrapText="1"/>
    </xf>
    <xf numFmtId="0" fontId="93" fillId="0" borderId="1" xfId="634" applyFont="1" applyFill="1" applyBorder="1" applyAlignment="1">
      <alignment horizontal="center" vertical="center" wrapText="1"/>
    </xf>
    <xf numFmtId="0" fontId="97" fillId="0" borderId="1" xfId="634" applyFont="1" applyFill="1" applyBorder="1" applyAlignment="1">
      <alignment horizontal="center" vertical="center" wrapText="1"/>
    </xf>
    <xf numFmtId="0" fontId="97" fillId="0" borderId="3" xfId="0" applyNumberFormat="1" applyFont="1" applyFill="1" applyBorder="1" applyAlignment="1">
      <alignment horizontal="center" vertical="center" wrapText="1"/>
    </xf>
    <xf numFmtId="0" fontId="97" fillId="0" borderId="3" xfId="0" applyFont="1" applyFill="1" applyBorder="1" applyAlignment="1">
      <alignment horizontal="center" vertical="center" wrapText="1"/>
    </xf>
    <xf numFmtId="0" fontId="97" fillId="0" borderId="3" xfId="634" applyNumberFormat="1" applyFont="1" applyFill="1" applyBorder="1" applyAlignment="1">
      <alignment horizontal="center" vertical="center" wrapText="1"/>
    </xf>
    <xf numFmtId="0" fontId="103" fillId="0" borderId="1" xfId="634"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49" fontId="12" fillId="0" borderId="3" xfId="634" applyNumberFormat="1" applyFont="1" applyFill="1" applyBorder="1" applyAlignment="1">
      <alignment horizontal="left" vertical="center" wrapText="1"/>
    </xf>
    <xf numFmtId="0" fontId="15" fillId="0" borderId="1" xfId="683" applyNumberFormat="1" applyFont="1" applyFill="1" applyBorder="1" applyAlignment="1">
      <alignment horizontal="center" vertical="center" wrapText="1"/>
    </xf>
    <xf numFmtId="2" fontId="15" fillId="0" borderId="1" xfId="1" applyNumberFormat="1" applyFont="1" applyFill="1" applyBorder="1" applyAlignment="1">
      <alignment horizontal="center" vertical="center"/>
    </xf>
    <xf numFmtId="0" fontId="97" fillId="0" borderId="1" xfId="683" applyFont="1" applyFill="1" applyBorder="1" applyAlignment="1">
      <alignment horizontal="center" vertical="center" wrapText="1"/>
    </xf>
    <xf numFmtId="49" fontId="7" fillId="0" borderId="3" xfId="634" applyNumberFormat="1" applyFont="1" applyFill="1" applyBorder="1" applyAlignment="1">
      <alignment horizontal="center" vertical="center" wrapText="1"/>
    </xf>
    <xf numFmtId="0" fontId="73" fillId="0" borderId="1" xfId="634" applyNumberFormat="1" applyFont="1" applyFill="1" applyBorder="1" applyAlignment="1">
      <alignment horizontal="center" vertical="center" wrapText="1"/>
    </xf>
    <xf numFmtId="0" fontId="15" fillId="0" borderId="1" xfId="634" applyNumberFormat="1" applyFont="1" applyFill="1" applyBorder="1" applyAlignment="1">
      <alignment horizontal="center" vertical="center" wrapText="1"/>
    </xf>
    <xf numFmtId="0" fontId="76" fillId="0" borderId="0" xfId="0" applyFont="1" applyFill="1" applyAlignment="1">
      <alignment horizontal="right" vertical="center" wrapText="1"/>
    </xf>
    <xf numFmtId="0" fontId="5" fillId="0" borderId="0" xfId="0" applyFont="1" applyFill="1" applyAlignment="1">
      <alignment horizontal="left" vertical="center" wrapText="1"/>
    </xf>
    <xf numFmtId="0" fontId="0" fillId="0" borderId="0" xfId="0" applyFill="1" applyAlignment="1">
      <alignment horizontal="right"/>
    </xf>
    <xf numFmtId="49" fontId="93" fillId="0" borderId="2" xfId="0" applyNumberFormat="1" applyFont="1" applyFill="1" applyBorder="1" applyAlignment="1">
      <alignment horizontal="center" vertical="top" wrapText="1"/>
    </xf>
    <xf numFmtId="49" fontId="92" fillId="0" borderId="6"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93" fillId="3" borderId="1" xfId="0" applyNumberFormat="1" applyFont="1" applyFill="1" applyBorder="1" applyAlignment="1">
      <alignment horizontal="center" vertical="center" wrapText="1"/>
    </xf>
    <xf numFmtId="0" fontId="0" fillId="32" borderId="1" xfId="0" applyFont="1" applyFill="1" applyBorder="1"/>
    <xf numFmtId="0" fontId="15" fillId="0" borderId="1" xfId="2" applyNumberFormat="1" applyFont="1" applyFill="1" applyBorder="1" applyAlignment="1" applyProtection="1">
      <alignment horizontal="center" vertical="center" wrapText="1"/>
    </xf>
    <xf numFmtId="0" fontId="15" fillId="0" borderId="3" xfId="0" applyNumberFormat="1" applyFont="1" applyFill="1" applyBorder="1" applyAlignment="1">
      <alignment horizontal="center" vertical="center" wrapText="1"/>
    </xf>
    <xf numFmtId="49" fontId="14" fillId="0" borderId="1" xfId="0" applyNumberFormat="1" applyFont="1" applyFill="1" applyBorder="1" applyAlignment="1">
      <alignment horizontal="right" vertical="center" wrapText="1"/>
    </xf>
    <xf numFmtId="0" fontId="86" fillId="33" borderId="19" xfId="0" applyNumberFormat="1" applyFont="1" applyFill="1" applyBorder="1" applyAlignment="1">
      <alignment horizontal="center" vertical="center" wrapText="1"/>
    </xf>
    <xf numFmtId="2" fontId="86" fillId="33" borderId="19" xfId="0" applyNumberFormat="1" applyFont="1" applyFill="1" applyBorder="1" applyAlignment="1">
      <alignment horizontal="center" vertical="center" wrapText="1"/>
    </xf>
    <xf numFmtId="4" fontId="86" fillId="33" borderId="19" xfId="0" applyNumberFormat="1" applyFont="1" applyFill="1" applyBorder="1" applyAlignment="1">
      <alignment horizontal="center" vertical="center" wrapText="1"/>
    </xf>
    <xf numFmtId="4" fontId="86" fillId="33" borderId="20" xfId="0" applyNumberFormat="1" applyFont="1" applyFill="1" applyBorder="1" applyAlignment="1">
      <alignment horizontal="right" vertical="center" wrapText="1"/>
    </xf>
    <xf numFmtId="0" fontId="0" fillId="0" borderId="0" xfId="0" applyFont="1" applyAlignment="1">
      <alignment horizontal="right" wrapText="1"/>
    </xf>
    <xf numFmtId="2" fontId="15" fillId="0" borderId="1" xfId="1" applyNumberFormat="1" applyFont="1" applyFill="1" applyBorder="1" applyAlignment="1">
      <alignment horizontal="right" vertical="center" wrapText="1"/>
    </xf>
    <xf numFmtId="49" fontId="80" fillId="33" borderId="19" xfId="0" applyNumberFormat="1" applyFont="1" applyFill="1" applyBorder="1" applyAlignment="1">
      <alignment horizontal="center" vertical="center" wrapText="1"/>
    </xf>
    <xf numFmtId="0" fontId="21" fillId="0" borderId="0" xfId="0" applyFont="1" applyAlignment="1">
      <alignment wrapText="1"/>
    </xf>
    <xf numFmtId="49" fontId="104" fillId="33" borderId="19" xfId="0" applyNumberFormat="1" applyFont="1" applyFill="1" applyBorder="1" applyAlignment="1">
      <alignment horizontal="center" vertical="center" wrapText="1"/>
    </xf>
    <xf numFmtId="49" fontId="12" fillId="37" borderId="1" xfId="0" applyNumberFormat="1" applyFont="1" applyFill="1" applyBorder="1" applyAlignment="1">
      <alignment horizontal="center" vertical="top" wrapText="1"/>
    </xf>
    <xf numFmtId="49" fontId="93" fillId="3" borderId="1" xfId="0" applyNumberFormat="1" applyFont="1" applyFill="1" applyBorder="1" applyAlignment="1">
      <alignment horizontal="center" vertical="top" wrapText="1"/>
    </xf>
    <xf numFmtId="49" fontId="12" fillId="32" borderId="1" xfId="0" applyNumberFormat="1" applyFont="1" applyFill="1" applyBorder="1" applyAlignment="1">
      <alignment horizontal="center" vertical="top" wrapText="1"/>
    </xf>
    <xf numFmtId="49" fontId="12" fillId="0" borderId="1" xfId="1" applyNumberFormat="1" applyFont="1" applyFill="1" applyBorder="1" applyAlignment="1">
      <alignment horizontal="center" vertical="top" wrapText="1"/>
    </xf>
    <xf numFmtId="49" fontId="0" fillId="32" borderId="1" xfId="0" applyNumberFormat="1" applyFont="1" applyFill="1" applyBorder="1" applyAlignment="1">
      <alignment horizontal="center" vertical="top"/>
    </xf>
    <xf numFmtId="49" fontId="101" fillId="5" borderId="1" xfId="0" applyNumberFormat="1" applyFont="1" applyFill="1" applyBorder="1" applyAlignment="1">
      <alignment horizontal="center" vertical="top" wrapText="1"/>
    </xf>
    <xf numFmtId="49" fontId="13" fillId="0" borderId="1" xfId="0" applyNumberFormat="1" applyFont="1" applyFill="1" applyBorder="1" applyAlignment="1">
      <alignment vertical="top" wrapText="1"/>
    </xf>
    <xf numFmtId="49" fontId="12" fillId="0" borderId="1" xfId="0" applyNumberFormat="1" applyFont="1" applyFill="1" applyBorder="1" applyAlignment="1">
      <alignment horizontal="center" vertical="top" wrapText="1"/>
    </xf>
    <xf numFmtId="49" fontId="13" fillId="0" borderId="0" xfId="0" applyNumberFormat="1" applyFont="1" applyAlignment="1">
      <alignment horizontal="center" vertical="top" wrapText="1"/>
    </xf>
    <xf numFmtId="49" fontId="86" fillId="33" borderId="18" xfId="0" applyNumberFormat="1" applyFont="1" applyFill="1" applyBorder="1" applyAlignment="1">
      <alignment horizontal="center" vertical="top" wrapText="1"/>
    </xf>
    <xf numFmtId="0" fontId="80" fillId="34" borderId="0" xfId="0" applyNumberFormat="1" applyFont="1" applyFill="1" applyAlignment="1">
      <alignment horizontal="center" vertical="center" wrapText="1"/>
    </xf>
    <xf numFmtId="0" fontId="106" fillId="34" borderId="0" xfId="0" applyFont="1" applyFill="1" applyAlignment="1">
      <alignment horizontal="center" vertical="center" wrapText="1"/>
    </xf>
    <xf numFmtId="0" fontId="80" fillId="34" borderId="31" xfId="0" applyNumberFormat="1" applyFont="1" applyFill="1" applyBorder="1" applyAlignment="1">
      <alignment vertical="center" wrapText="1"/>
    </xf>
    <xf numFmtId="2" fontId="80" fillId="34" borderId="0" xfId="0" applyNumberFormat="1" applyFont="1" applyFill="1" applyAlignment="1">
      <alignment horizontal="center" vertical="center" wrapText="1"/>
    </xf>
    <xf numFmtId="2" fontId="80" fillId="34" borderId="0" xfId="0" applyNumberFormat="1" applyFont="1" applyFill="1" applyAlignment="1">
      <alignment horizontal="right" vertical="center" wrapText="1"/>
    </xf>
    <xf numFmtId="0" fontId="21" fillId="0" borderId="0" xfId="0" applyFont="1" applyAlignment="1">
      <alignment horizontal="right" vertical="center" wrapText="1"/>
    </xf>
    <xf numFmtId="0" fontId="21" fillId="0" borderId="0" xfId="0" applyFont="1" applyAlignment="1">
      <alignment horizontal="center" vertical="center" wrapText="1"/>
    </xf>
    <xf numFmtId="49" fontId="22" fillId="5" borderId="2" xfId="0" applyNumberFormat="1" applyFont="1" applyFill="1" applyBorder="1" applyAlignment="1">
      <alignment horizontal="center" vertical="center" wrapText="1"/>
    </xf>
    <xf numFmtId="0" fontId="100" fillId="5" borderId="1" xfId="0" applyNumberFormat="1" applyFont="1" applyFill="1" applyBorder="1" applyAlignment="1">
      <alignment horizontal="center" vertical="center" wrapText="1"/>
    </xf>
    <xf numFmtId="0" fontId="74" fillId="5" borderId="1" xfId="0" applyNumberFormat="1" applyFont="1" applyFill="1" applyBorder="1" applyAlignment="1">
      <alignment horizontal="center" vertical="center" wrapText="1"/>
    </xf>
    <xf numFmtId="49" fontId="22" fillId="0" borderId="2" xfId="0" applyNumberFormat="1" applyFont="1" applyFill="1" applyBorder="1" applyAlignment="1">
      <alignment vertical="top" wrapText="1"/>
    </xf>
    <xf numFmtId="49" fontId="107" fillId="0" borderId="1" xfId="0" applyNumberFormat="1" applyFont="1" applyFill="1" applyBorder="1" applyAlignment="1">
      <alignment horizontal="center" vertical="center" wrapText="1"/>
    </xf>
    <xf numFmtId="0" fontId="100" fillId="0" borderId="2" xfId="0" applyNumberFormat="1" applyFont="1" applyFill="1" applyBorder="1" applyAlignment="1">
      <alignment horizontal="center" vertical="center" wrapText="1"/>
    </xf>
    <xf numFmtId="0" fontId="74" fillId="0" borderId="2" xfId="0" applyNumberFormat="1" applyFont="1" applyFill="1" applyBorder="1" applyAlignment="1">
      <alignment horizontal="center" vertical="center" wrapText="1"/>
    </xf>
    <xf numFmtId="2" fontId="15" fillId="0" borderId="2" xfId="1" applyNumberFormat="1" applyFont="1" applyFill="1" applyBorder="1" applyAlignment="1">
      <alignment horizontal="center" vertical="center" wrapText="1"/>
    </xf>
    <xf numFmtId="49" fontId="22" fillId="0" borderId="3" xfId="0" applyNumberFormat="1" applyFont="1" applyFill="1" applyBorder="1" applyAlignment="1">
      <alignment vertical="top" wrapText="1"/>
    </xf>
    <xf numFmtId="0" fontId="100" fillId="0" borderId="3" xfId="0" applyNumberFormat="1" applyFont="1" applyFill="1" applyBorder="1" applyAlignment="1">
      <alignment horizontal="center" vertical="center" wrapText="1"/>
    </xf>
    <xf numFmtId="0" fontId="74" fillId="0" borderId="3" xfId="0" applyNumberFormat="1" applyFont="1" applyFill="1" applyBorder="1" applyAlignment="1">
      <alignment horizontal="center" vertical="center" wrapText="1"/>
    </xf>
    <xf numFmtId="49" fontId="14" fillId="0" borderId="3" xfId="0" applyNumberFormat="1" applyFont="1" applyFill="1" applyBorder="1" applyAlignment="1">
      <alignment horizontal="left" vertical="center" wrapText="1"/>
    </xf>
    <xf numFmtId="0" fontId="91"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2" fontId="15" fillId="0" borderId="1" xfId="3" applyNumberFormat="1" applyFont="1" applyFill="1" applyBorder="1" applyAlignment="1">
      <alignment horizontal="center" vertical="center" wrapText="1"/>
    </xf>
    <xf numFmtId="2" fontId="15" fillId="0" borderId="6" xfId="0" applyNumberFormat="1" applyFont="1" applyFill="1" applyBorder="1" applyAlignment="1">
      <alignment horizontal="center" vertical="center" wrapText="1"/>
    </xf>
    <xf numFmtId="49" fontId="22" fillId="0" borderId="1" xfId="1" applyNumberFormat="1" applyFont="1" applyFill="1" applyBorder="1" applyAlignment="1">
      <alignment vertical="center" wrapText="1"/>
    </xf>
    <xf numFmtId="0" fontId="73" fillId="0" borderId="1" xfId="0" applyNumberFormat="1" applyFont="1" applyBorder="1" applyAlignment="1">
      <alignment horizontal="center" vertical="center" wrapText="1"/>
    </xf>
    <xf numFmtId="0" fontId="74" fillId="0" borderId="1" xfId="1" applyNumberFormat="1" applyFont="1" applyFill="1" applyBorder="1" applyAlignment="1">
      <alignment horizontal="center" vertical="center" wrapText="1"/>
    </xf>
    <xf numFmtId="2" fontId="15" fillId="0" borderId="1" xfId="1" applyNumberFormat="1" applyFont="1" applyFill="1" applyBorder="1" applyAlignment="1">
      <alignment horizontal="center" vertical="top"/>
    </xf>
    <xf numFmtId="0" fontId="15" fillId="0" borderId="1" xfId="0" applyNumberFormat="1" applyFont="1" applyBorder="1" applyAlignment="1">
      <alignment horizontal="center" vertical="center" wrapText="1"/>
    </xf>
    <xf numFmtId="49" fontId="110" fillId="0" borderId="3" xfId="0" applyNumberFormat="1" applyFont="1" applyFill="1" applyBorder="1" applyAlignment="1">
      <alignment horizontal="left" vertical="center" wrapText="1"/>
    </xf>
    <xf numFmtId="49" fontId="12" fillId="5" borderId="1" xfId="0" applyNumberFormat="1" applyFont="1" applyFill="1" applyBorder="1" applyAlignment="1">
      <alignment horizontal="center" vertical="top" wrapText="1"/>
    </xf>
    <xf numFmtId="49" fontId="101" fillId="0" borderId="3" xfId="0" applyNumberFormat="1" applyFont="1" applyFill="1" applyBorder="1" applyAlignment="1">
      <alignment horizontal="center" vertical="top" wrapText="1"/>
    </xf>
    <xf numFmtId="49" fontId="22" fillId="0" borderId="2" xfId="904" applyNumberFormat="1" applyFont="1" applyFill="1" applyBorder="1" applyAlignment="1">
      <alignment vertical="center" wrapText="1"/>
    </xf>
    <xf numFmtId="0" fontId="73" fillId="0" borderId="1" xfId="655" applyNumberFormat="1" applyFont="1" applyFill="1" applyBorder="1" applyAlignment="1">
      <alignment horizontal="center" vertical="center" wrapText="1"/>
    </xf>
    <xf numFmtId="0" fontId="74" fillId="0" borderId="1" xfId="655" applyNumberFormat="1" applyFont="1" applyFill="1" applyBorder="1" applyAlignment="1">
      <alignment horizontal="center" vertical="center" wrapText="1"/>
    </xf>
    <xf numFmtId="0" fontId="85" fillId="0" borderId="1" xfId="0" applyNumberFormat="1" applyFont="1" applyFill="1" applyBorder="1" applyAlignment="1">
      <alignment horizontal="center" vertical="center" wrapText="1"/>
    </xf>
    <xf numFmtId="0" fontId="77" fillId="0" borderId="0" xfId="0" applyFont="1" applyFill="1" applyAlignment="1">
      <alignment horizontal="right" wrapText="1"/>
    </xf>
    <xf numFmtId="0" fontId="15" fillId="0" borderId="1" xfId="655" applyNumberFormat="1" applyFont="1" applyFill="1" applyBorder="1" applyAlignment="1">
      <alignment horizontal="center" vertical="center" wrapText="1"/>
    </xf>
    <xf numFmtId="0" fontId="100" fillId="0" borderId="1" xfId="634" applyNumberFormat="1" applyFont="1" applyFill="1" applyBorder="1" applyAlignment="1">
      <alignment horizontal="center" vertical="center" wrapText="1"/>
    </xf>
    <xf numFmtId="0" fontId="74" fillId="0" borderId="1" xfId="634" applyNumberFormat="1" applyFont="1" applyFill="1" applyBorder="1" applyAlignment="1">
      <alignment horizontal="center" vertical="center" wrapText="1"/>
    </xf>
    <xf numFmtId="49" fontId="12" fillId="0" borderId="3" xfId="634" applyNumberFormat="1" applyFont="1" applyFill="1" applyBorder="1" applyAlignment="1">
      <alignment horizontal="center" vertical="top" wrapText="1"/>
    </xf>
    <xf numFmtId="2" fontId="14" fillId="0" borderId="1" xfId="0" applyNumberFormat="1" applyFont="1" applyFill="1" applyBorder="1" applyAlignment="1">
      <alignment vertical="center" wrapText="1"/>
    </xf>
    <xf numFmtId="2" fontId="14" fillId="0" borderId="1" xfId="0" applyNumberFormat="1" applyFont="1" applyFill="1" applyBorder="1" applyAlignment="1">
      <alignment horizontal="right" vertical="center" wrapText="1"/>
    </xf>
    <xf numFmtId="2" fontId="14" fillId="0" borderId="1" xfId="0" applyNumberFormat="1" applyFont="1" applyFill="1" applyBorder="1" applyAlignment="1">
      <alignment horizontal="center" vertical="center" wrapText="1"/>
    </xf>
    <xf numFmtId="0" fontId="76" fillId="0" borderId="0" xfId="0" applyFont="1" applyFill="1" applyAlignment="1">
      <alignment horizontal="center" wrapText="1"/>
    </xf>
    <xf numFmtId="0" fontId="76" fillId="0" borderId="0" xfId="0" applyNumberFormat="1" applyFont="1" applyAlignment="1">
      <alignment horizontal="right" vertical="center" wrapText="1"/>
    </xf>
    <xf numFmtId="0" fontId="76" fillId="0" borderId="0" xfId="0" applyFont="1" applyAlignment="1">
      <alignment horizontal="center" vertical="center" wrapText="1"/>
    </xf>
    <xf numFmtId="0" fontId="95" fillId="0" borderId="0" xfId="0" applyFont="1" applyAlignment="1">
      <alignment vertical="center" wrapText="1"/>
    </xf>
    <xf numFmtId="0" fontId="95" fillId="0" borderId="0" xfId="0" applyFont="1" applyAlignment="1">
      <alignment horizontal="center"/>
    </xf>
    <xf numFmtId="0" fontId="112" fillId="0" borderId="0" xfId="0" applyFont="1" applyFill="1" applyAlignment="1">
      <alignment horizontal="right" vertical="center" wrapText="1"/>
    </xf>
    <xf numFmtId="0" fontId="76" fillId="0" borderId="0" xfId="0" applyFont="1" applyAlignment="1">
      <alignment horizontal="right" vertical="center" wrapText="1"/>
    </xf>
    <xf numFmtId="2" fontId="112" fillId="0" borderId="0" xfId="0" applyNumberFormat="1" applyFont="1" applyFill="1" applyAlignment="1">
      <alignment horizontal="right" vertical="center" wrapText="1"/>
    </xf>
    <xf numFmtId="0" fontId="76" fillId="0" borderId="0" xfId="0" applyNumberFormat="1" applyFont="1" applyFill="1" applyAlignment="1">
      <alignment horizontal="center" wrapText="1"/>
    </xf>
    <xf numFmtId="2" fontId="77" fillId="0" borderId="0" xfId="0" applyNumberFormat="1" applyFont="1" applyAlignment="1">
      <alignment horizontal="right" vertical="center" wrapText="1"/>
    </xf>
    <xf numFmtId="49" fontId="22" fillId="5" borderId="1" xfId="0" applyNumberFormat="1" applyFont="1" applyFill="1" applyBorder="1" applyAlignment="1">
      <alignment horizontal="center" vertical="top" wrapText="1"/>
    </xf>
    <xf numFmtId="0" fontId="103" fillId="0" borderId="1" xfId="0" applyNumberFormat="1" applyFont="1" applyFill="1" applyBorder="1" applyAlignment="1">
      <alignment horizontal="center" vertical="center" wrapText="1"/>
    </xf>
    <xf numFmtId="49" fontId="66" fillId="3" borderId="1" xfId="796"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7" fillId="3" borderId="1" xfId="796" applyNumberFormat="1" applyFont="1" applyFill="1" applyBorder="1" applyAlignment="1">
      <alignment horizontal="center" vertical="center" wrapText="1"/>
    </xf>
    <xf numFmtId="0" fontId="12" fillId="3" borderId="1" xfId="796" applyNumberFormat="1" applyFont="1" applyFill="1" applyBorder="1" applyAlignment="1">
      <alignment horizontal="center" vertical="center" wrapText="1"/>
    </xf>
    <xf numFmtId="49" fontId="66" fillId="2" borderId="1" xfId="796" applyNumberFormat="1" applyFont="1" applyFill="1" applyBorder="1" applyAlignment="1">
      <alignment horizontal="center" vertical="center" wrapText="1"/>
    </xf>
    <xf numFmtId="0" fontId="66" fillId="2" borderId="1" xfId="796" applyNumberFormat="1" applyFont="1" applyFill="1" applyBorder="1" applyAlignment="1">
      <alignment horizontal="center" vertical="center" wrapText="1"/>
    </xf>
    <xf numFmtId="0" fontId="22" fillId="2" borderId="1" xfId="796" applyNumberFormat="1" applyFont="1" applyFill="1" applyBorder="1" applyAlignment="1">
      <alignment horizontal="center" vertical="center" wrapText="1"/>
    </xf>
    <xf numFmtId="49" fontId="22" fillId="32" borderId="1" xfId="796" applyNumberFormat="1" applyFont="1" applyFill="1" applyBorder="1" applyAlignment="1">
      <alignment horizontal="center" vertical="center" wrapText="1"/>
    </xf>
    <xf numFmtId="49" fontId="66" fillId="32" borderId="1" xfId="796" applyNumberFormat="1" applyFont="1" applyFill="1" applyBorder="1" applyAlignment="1">
      <alignment horizontal="center" vertical="center" wrapText="1"/>
    </xf>
    <xf numFmtId="0" fontId="7" fillId="32" borderId="1" xfId="796" applyNumberFormat="1" applyFont="1" applyFill="1" applyBorder="1" applyAlignment="1">
      <alignment horizontal="center" vertical="center" wrapText="1"/>
    </xf>
    <xf numFmtId="0" fontId="12" fillId="32" borderId="1" xfId="796" applyNumberFormat="1" applyFont="1" applyFill="1" applyBorder="1" applyAlignment="1">
      <alignment horizontal="center" vertical="center" wrapText="1"/>
    </xf>
    <xf numFmtId="49" fontId="107" fillId="31" borderId="1" xfId="0" applyNumberFormat="1" applyFont="1" applyFill="1" applyBorder="1" applyAlignment="1">
      <alignment horizontal="center" vertical="center" wrapText="1"/>
    </xf>
    <xf numFmtId="0" fontId="22" fillId="31" borderId="1" xfId="0" applyNumberFormat="1" applyFont="1" applyFill="1" applyBorder="1" applyAlignment="1">
      <alignment horizontal="center" vertical="center" wrapText="1"/>
    </xf>
    <xf numFmtId="2" fontId="12" fillId="0" borderId="2" xfId="906" applyNumberFormat="1" applyFont="1" applyFill="1" applyBorder="1" applyAlignment="1">
      <alignment horizontal="center" vertical="center" wrapText="1"/>
    </xf>
    <xf numFmtId="49" fontId="22" fillId="31" borderId="1" xfId="0" applyNumberFormat="1" applyFont="1" applyFill="1" applyBorder="1" applyAlignment="1">
      <alignment horizontal="left" vertical="center" wrapText="1"/>
    </xf>
    <xf numFmtId="2" fontId="12" fillId="0" borderId="4" xfId="906" applyNumberFormat="1" applyFont="1" applyFill="1" applyBorder="1" applyAlignment="1">
      <alignment horizontal="center" vertical="center" wrapText="1"/>
    </xf>
    <xf numFmtId="49" fontId="66" fillId="5" borderId="1" xfId="904" applyNumberFormat="1" applyFont="1" applyFill="1" applyBorder="1" applyAlignment="1">
      <alignment horizontal="center" vertical="top" wrapText="1"/>
    </xf>
    <xf numFmtId="49" fontId="22" fillId="5" borderId="2" xfId="873" applyNumberFormat="1" applyFont="1" applyFill="1" applyBorder="1" applyAlignment="1">
      <alignment horizontal="left" vertical="center" wrapText="1"/>
    </xf>
    <xf numFmtId="49" fontId="66" fillId="5" borderId="6" xfId="873" applyNumberFormat="1" applyFont="1" applyFill="1" applyBorder="1" applyAlignment="1">
      <alignment horizontal="center" vertical="center" wrapText="1"/>
    </xf>
    <xf numFmtId="0" fontId="22" fillId="5" borderId="1" xfId="873" applyNumberFormat="1" applyFont="1" applyFill="1" applyBorder="1" applyAlignment="1">
      <alignment horizontal="center" vertical="center" wrapText="1"/>
    </xf>
    <xf numFmtId="0" fontId="7" fillId="0" borderId="1" xfId="904" applyNumberFormat="1" applyFont="1" applyFill="1" applyBorder="1" applyAlignment="1">
      <alignment horizontal="center" vertical="center" wrapText="1"/>
    </xf>
    <xf numFmtId="49" fontId="7" fillId="0" borderId="1" xfId="904" applyNumberFormat="1" applyFont="1" applyFill="1" applyBorder="1" applyAlignment="1">
      <alignment horizontal="center" vertical="center" wrapText="1"/>
    </xf>
    <xf numFmtId="49" fontId="66" fillId="0" borderId="1" xfId="736" applyNumberFormat="1" applyFont="1" applyFill="1" applyBorder="1" applyAlignment="1">
      <alignment horizontal="center" vertical="center" wrapText="1"/>
    </xf>
    <xf numFmtId="49" fontId="22" fillId="0" borderId="1" xfId="736" applyNumberFormat="1" applyFont="1" applyFill="1" applyBorder="1" applyAlignment="1">
      <alignment horizontal="left" vertical="center" wrapText="1"/>
    </xf>
    <xf numFmtId="0" fontId="7" fillId="0" borderId="1" xfId="736" applyNumberFormat="1" applyFont="1" applyFill="1" applyBorder="1" applyAlignment="1">
      <alignment horizontal="center" vertical="center" wrapText="1"/>
    </xf>
    <xf numFmtId="0" fontId="22" fillId="0" borderId="1" xfId="736" applyNumberFormat="1" applyFont="1" applyFill="1" applyBorder="1" applyAlignment="1">
      <alignment horizontal="center" vertical="center" wrapText="1"/>
    </xf>
    <xf numFmtId="49" fontId="7" fillId="0" borderId="1" xfId="736" applyNumberFormat="1" applyFont="1" applyFill="1" applyBorder="1" applyAlignment="1">
      <alignment horizontal="center" vertical="center" wrapText="1"/>
    </xf>
    <xf numFmtId="49" fontId="12" fillId="0" borderId="1" xfId="736" applyNumberFormat="1" applyFont="1" applyFill="1" applyBorder="1" applyAlignment="1">
      <alignment horizontal="left" vertical="center" wrapText="1"/>
    </xf>
    <xf numFmtId="0" fontId="12" fillId="0" borderId="1" xfId="736" applyNumberFormat="1" applyFont="1" applyFill="1" applyBorder="1" applyAlignment="1">
      <alignment horizontal="center" vertical="center" wrapText="1"/>
    </xf>
    <xf numFmtId="49" fontId="113" fillId="0" borderId="1" xfId="682" applyNumberFormat="1" applyFont="1" applyFill="1" applyBorder="1" applyAlignment="1">
      <alignment horizontal="left" vertical="center" wrapText="1"/>
    </xf>
    <xf numFmtId="49" fontId="114" fillId="0" borderId="1" xfId="682" applyNumberFormat="1" applyFont="1" applyFill="1" applyBorder="1" applyAlignment="1">
      <alignment horizontal="left" vertical="center" wrapText="1"/>
    </xf>
    <xf numFmtId="0" fontId="66" fillId="0" borderId="1" xfId="634" applyNumberFormat="1" applyFont="1" applyFill="1" applyBorder="1" applyAlignment="1">
      <alignment horizontal="center" vertical="center" wrapText="1"/>
    </xf>
    <xf numFmtId="49" fontId="12" fillId="0" borderId="1" xfId="907" applyNumberFormat="1" applyFont="1" applyFill="1" applyBorder="1" applyAlignment="1">
      <alignment horizontal="left" vertical="center" wrapText="1"/>
    </xf>
    <xf numFmtId="49" fontId="66" fillId="0" borderId="1" xfId="907" applyNumberFormat="1" applyFont="1" applyFill="1" applyBorder="1" applyAlignment="1">
      <alignment horizontal="center" vertical="center" wrapText="1"/>
    </xf>
    <xf numFmtId="0" fontId="7" fillId="0" borderId="1" xfId="907" applyNumberFormat="1" applyFont="1" applyFill="1" applyBorder="1" applyAlignment="1">
      <alignment horizontal="center" vertical="center" wrapText="1"/>
    </xf>
    <xf numFmtId="0" fontId="12" fillId="0" borderId="1" xfId="907" applyNumberFormat="1" applyFont="1" applyFill="1" applyBorder="1" applyAlignment="1">
      <alignment horizontal="center" vertical="center" wrapText="1"/>
    </xf>
    <xf numFmtId="0" fontId="7" fillId="0" borderId="1" xfId="873" applyNumberFormat="1" applyFont="1" applyFill="1" applyBorder="1" applyAlignment="1">
      <alignment horizontal="center" vertical="center" wrapText="1"/>
    </xf>
    <xf numFmtId="49" fontId="12" fillId="0" borderId="2" xfId="873" applyNumberFormat="1" applyFont="1" applyFill="1" applyBorder="1" applyAlignment="1">
      <alignment horizontal="left" vertical="center" wrapText="1"/>
    </xf>
    <xf numFmtId="49" fontId="7" fillId="0" borderId="1" xfId="873" applyNumberFormat="1" applyFont="1" applyFill="1" applyBorder="1" applyAlignment="1">
      <alignment horizontal="center" vertical="top" wrapText="1"/>
    </xf>
    <xf numFmtId="49" fontId="7" fillId="5" borderId="1" xfId="873" applyNumberFormat="1" applyFont="1" applyFill="1" applyBorder="1" applyAlignment="1">
      <alignment horizontal="center" vertical="center" wrapText="1"/>
    </xf>
    <xf numFmtId="49" fontId="22" fillId="5" borderId="1" xfId="904" applyNumberFormat="1" applyFont="1" applyFill="1" applyBorder="1" applyAlignment="1">
      <alignment horizontal="left" vertical="center" wrapText="1"/>
    </xf>
    <xf numFmtId="0" fontId="7" fillId="5" borderId="1" xfId="873" applyNumberFormat="1" applyFont="1" applyFill="1" applyBorder="1" applyAlignment="1">
      <alignment horizontal="center" vertical="center" wrapText="1"/>
    </xf>
    <xf numFmtId="0" fontId="12" fillId="5" borderId="1" xfId="873" applyNumberFormat="1" applyFont="1" applyFill="1" applyBorder="1" applyAlignment="1">
      <alignment horizontal="center" vertical="center" wrapText="1"/>
    </xf>
    <xf numFmtId="49" fontId="76" fillId="0" borderId="1" xfId="0" applyNumberFormat="1" applyFont="1" applyFill="1" applyBorder="1" applyAlignment="1">
      <alignment horizontal="left" vertical="center" wrapText="1"/>
    </xf>
    <xf numFmtId="0" fontId="76" fillId="0" borderId="1" xfId="904" applyNumberFormat="1" applyFont="1" applyFill="1" applyBorder="1" applyAlignment="1">
      <alignment horizontal="center" vertical="center" wrapText="1"/>
    </xf>
    <xf numFmtId="49" fontId="7" fillId="0" borderId="6" xfId="873" applyNumberFormat="1" applyFont="1" applyFill="1" applyBorder="1" applyAlignment="1">
      <alignment horizontal="center" vertical="center" wrapText="1"/>
    </xf>
    <xf numFmtId="49" fontId="22" fillId="32" borderId="2" xfId="796" applyNumberFormat="1" applyFont="1" applyFill="1" applyBorder="1" applyAlignment="1">
      <alignment horizontal="center" vertical="center" wrapText="1"/>
    </xf>
    <xf numFmtId="49" fontId="66" fillId="32" borderId="2" xfId="796" applyNumberFormat="1" applyFont="1" applyFill="1" applyBorder="1" applyAlignment="1">
      <alignment horizontal="center" vertical="center" wrapText="1"/>
    </xf>
    <xf numFmtId="0" fontId="7" fillId="32" borderId="2" xfId="796" applyNumberFormat="1" applyFont="1" applyFill="1" applyBorder="1" applyAlignment="1">
      <alignment horizontal="center" vertical="center" wrapText="1"/>
    </xf>
    <xf numFmtId="0" fontId="12" fillId="32" borderId="2" xfId="796" applyNumberFormat="1" applyFont="1" applyFill="1" applyBorder="1" applyAlignment="1">
      <alignment horizontal="center" vertical="center" wrapText="1"/>
    </xf>
    <xf numFmtId="2" fontId="12" fillId="0" borderId="2" xfId="902" applyNumberFormat="1" applyFont="1" applyFill="1" applyBorder="1" applyAlignment="1">
      <alignment horizontal="center" vertical="center" wrapText="1"/>
    </xf>
    <xf numFmtId="49" fontId="12" fillId="0" borderId="1" xfId="873" applyNumberFormat="1" applyFont="1" applyFill="1" applyBorder="1" applyAlignment="1">
      <alignment horizontal="left" vertical="center" wrapText="1"/>
    </xf>
    <xf numFmtId="49" fontId="22" fillId="0" borderId="1" xfId="647" applyNumberFormat="1" applyFont="1" applyBorder="1" applyAlignment="1">
      <alignment horizontal="left" vertical="center" wrapText="1"/>
    </xf>
    <xf numFmtId="0" fontId="7" fillId="0" borderId="0" xfId="0" applyNumberFormat="1" applyFont="1" applyFill="1" applyAlignment="1">
      <alignment horizontal="center" vertical="center" wrapText="1"/>
    </xf>
    <xf numFmtId="0" fontId="12" fillId="0" borderId="0" xfId="0" applyNumberFormat="1" applyFont="1" applyFill="1" applyAlignment="1">
      <alignment horizontal="center" vertical="center" wrapText="1"/>
    </xf>
    <xf numFmtId="2" fontId="12" fillId="0" borderId="0" xfId="0" applyNumberFormat="1" applyFont="1" applyFill="1" applyAlignment="1">
      <alignment horizontal="center" vertical="center" wrapText="1"/>
    </xf>
    <xf numFmtId="49" fontId="6" fillId="32" borderId="1" xfId="0" applyNumberFormat="1" applyFont="1" applyFill="1" applyBorder="1" applyAlignment="1">
      <alignment horizontal="center" vertical="center" wrapText="1"/>
    </xf>
    <xf numFmtId="0" fontId="16" fillId="32"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2" fontId="12" fillId="0" borderId="0" xfId="0" applyNumberFormat="1" applyFont="1" applyFill="1" applyBorder="1" applyAlignment="1">
      <alignment horizontal="center" vertical="center" wrapText="1"/>
    </xf>
    <xf numFmtId="49" fontId="22" fillId="0" borderId="0" xfId="0" applyNumberFormat="1" applyFont="1" applyFill="1" applyAlignment="1">
      <alignment vertical="center" wrapText="1"/>
    </xf>
    <xf numFmtId="49" fontId="66" fillId="0" borderId="0" xfId="0" applyNumberFormat="1" applyFont="1" applyFill="1" applyAlignment="1">
      <alignment horizontal="center" vertical="center" wrapText="1"/>
    </xf>
    <xf numFmtId="49" fontId="6" fillId="0" borderId="8" xfId="0" applyNumberFormat="1" applyFont="1" applyFill="1" applyBorder="1" applyAlignment="1">
      <alignment horizontal="center" vertical="center" wrapText="1"/>
    </xf>
    <xf numFmtId="49" fontId="73" fillId="0" borderId="0" xfId="0" applyNumberFormat="1" applyFont="1" applyFill="1" applyAlignment="1">
      <alignment horizontal="center" vertical="center" wrapText="1"/>
    </xf>
    <xf numFmtId="49" fontId="15" fillId="0" borderId="0" xfId="0" applyNumberFormat="1" applyFont="1" applyFill="1" applyAlignment="1">
      <alignment horizontal="center" vertical="center" wrapText="1"/>
    </xf>
    <xf numFmtId="0" fontId="15" fillId="0" borderId="0" xfId="0" applyNumberFormat="1" applyFont="1" applyFill="1" applyAlignment="1">
      <alignment horizontal="center" vertical="center" wrapText="1"/>
    </xf>
    <xf numFmtId="2" fontId="15" fillId="0" borderId="0" xfId="0" applyNumberFormat="1" applyFont="1" applyFill="1" applyAlignment="1">
      <alignment horizontal="center" vertical="center" wrapText="1"/>
    </xf>
    <xf numFmtId="2" fontId="12" fillId="0" borderId="0" xfId="0" applyNumberFormat="1" applyFont="1" applyFill="1" applyAlignment="1">
      <alignment vertical="center" wrapText="1"/>
    </xf>
    <xf numFmtId="0" fontId="66" fillId="3" borderId="1" xfId="0" applyNumberFormat="1" applyFont="1" applyFill="1" applyBorder="1" applyAlignment="1">
      <alignment horizontal="center" vertical="center" wrapText="1"/>
    </xf>
    <xf numFmtId="0" fontId="5" fillId="0" borderId="0" xfId="0" applyFont="1" applyFill="1" applyAlignment="1">
      <alignment horizontal="center" wrapText="1"/>
    </xf>
    <xf numFmtId="0" fontId="7" fillId="32" borderId="1" xfId="0" applyNumberFormat="1" applyFont="1" applyFill="1" applyBorder="1" applyAlignment="1">
      <alignment horizontal="center" vertical="center" wrapText="1"/>
    </xf>
    <xf numFmtId="0" fontId="22" fillId="32"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1" fillId="0" borderId="1" xfId="1" applyNumberFormat="1" applyFont="1" applyFill="1" applyBorder="1" applyAlignment="1">
      <alignment horizontal="center" vertical="center" wrapText="1"/>
    </xf>
    <xf numFmtId="49" fontId="22" fillId="0" borderId="1" xfId="908" applyNumberFormat="1" applyFont="1" applyFill="1" applyBorder="1" applyAlignment="1">
      <alignment horizontal="left" vertical="center" wrapText="1"/>
    </xf>
    <xf numFmtId="49" fontId="7" fillId="0" borderId="1" xfId="908" applyNumberFormat="1" applyFont="1" applyFill="1" applyBorder="1" applyAlignment="1">
      <alignment horizontal="center" vertical="center" wrapText="1"/>
    </xf>
    <xf numFmtId="0" fontId="66" fillId="0" borderId="1" xfId="908" applyNumberFormat="1" applyFont="1" applyFill="1" applyBorder="1" applyAlignment="1">
      <alignment horizontal="center" vertical="center" wrapText="1"/>
    </xf>
    <xf numFmtId="0" fontId="22" fillId="0" borderId="1" xfId="908" applyNumberFormat="1" applyFont="1" applyFill="1" applyBorder="1" applyAlignment="1">
      <alignment horizontal="center" vertical="center" wrapText="1"/>
    </xf>
    <xf numFmtId="0" fontId="7" fillId="0" borderId="1" xfId="0" applyNumberFormat="1" applyFont="1" applyBorder="1" applyAlignment="1">
      <alignment horizontal="center" wrapText="1"/>
    </xf>
    <xf numFmtId="49" fontId="22"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2" fontId="22" fillId="0" borderId="3" xfId="1" applyNumberFormat="1" applyFont="1" applyFill="1" applyBorder="1" applyAlignment="1">
      <alignment horizontal="center" vertical="center" wrapText="1"/>
    </xf>
    <xf numFmtId="0" fontId="99" fillId="0" borderId="1" xfId="634" applyNumberFormat="1" applyFont="1" applyFill="1" applyBorder="1" applyAlignment="1">
      <alignment horizontal="center" vertical="center" wrapText="1"/>
    </xf>
    <xf numFmtId="2" fontId="12" fillId="0" borderId="1" xfId="505" applyNumberFormat="1" applyFont="1" applyFill="1" applyBorder="1" applyAlignment="1">
      <alignment horizontal="center" vertical="center" wrapText="1"/>
    </xf>
    <xf numFmtId="0" fontId="76" fillId="0" borderId="1" xfId="634" applyNumberFormat="1" applyFont="1" applyFill="1" applyBorder="1" applyAlignment="1">
      <alignment horizontal="center" vertical="center" wrapText="1"/>
    </xf>
    <xf numFmtId="0" fontId="99" fillId="0" borderId="1" xfId="2" applyNumberFormat="1" applyFont="1" applyFill="1" applyBorder="1" applyAlignment="1" applyProtection="1">
      <alignment horizontal="center" vertical="center" wrapText="1"/>
    </xf>
    <xf numFmtId="0" fontId="66" fillId="0" borderId="1" xfId="682" applyNumberFormat="1" applyFont="1" applyFill="1" applyBorder="1" applyAlignment="1">
      <alignment horizontal="center" vertical="center" wrapText="1"/>
    </xf>
    <xf numFmtId="2" fontId="22" fillId="0" borderId="1" xfId="682" applyNumberFormat="1" applyFont="1" applyFill="1" applyBorder="1" applyAlignment="1">
      <alignment horizontal="center" vertical="center" wrapText="1"/>
    </xf>
    <xf numFmtId="2" fontId="85" fillId="0" borderId="0" xfId="0" applyNumberFormat="1" applyFont="1" applyAlignment="1">
      <alignment wrapText="1"/>
    </xf>
    <xf numFmtId="49" fontId="0" fillId="0" borderId="0" xfId="0" applyNumberFormat="1" applyAlignment="1">
      <alignment wrapText="1"/>
    </xf>
    <xf numFmtId="0" fontId="0" fillId="0" borderId="0" xfId="0" applyNumberFormat="1" applyAlignment="1">
      <alignment wrapText="1"/>
    </xf>
    <xf numFmtId="2" fontId="0" fillId="0" borderId="0" xfId="0" applyNumberFormat="1" applyAlignment="1">
      <alignment wrapText="1"/>
    </xf>
    <xf numFmtId="0" fontId="14" fillId="0" borderId="0" xfId="0" applyNumberFormat="1" applyFont="1" applyAlignment="1">
      <alignment vertical="center" wrapText="1"/>
    </xf>
    <xf numFmtId="0" fontId="22" fillId="32" borderId="1" xfId="1" applyNumberFormat="1" applyFont="1" applyFill="1" applyBorder="1" applyAlignment="1">
      <alignment horizontal="center" vertical="center" wrapText="1"/>
    </xf>
    <xf numFmtId="2" fontId="22" fillId="32" borderId="1" xfId="0" applyNumberFormat="1" applyFont="1" applyFill="1" applyBorder="1" applyAlignment="1">
      <alignment horizontal="center" vertical="center" wrapText="1"/>
    </xf>
    <xf numFmtId="4" fontId="22" fillId="32" borderId="1" xfId="0" applyNumberFormat="1" applyFont="1" applyFill="1" applyBorder="1" applyAlignment="1">
      <alignment horizontal="center" vertical="center" wrapText="1"/>
    </xf>
    <xf numFmtId="2" fontId="12" fillId="0" borderId="2" xfId="906" applyNumberFormat="1" applyFont="1" applyFill="1" applyBorder="1" applyAlignment="1">
      <alignment horizontal="right" vertical="center" wrapText="1"/>
    </xf>
    <xf numFmtId="2" fontId="12" fillId="0" borderId="4" xfId="906" applyNumberFormat="1" applyFont="1" applyFill="1" applyBorder="1" applyAlignment="1">
      <alignment horizontal="right" vertical="center" wrapText="1"/>
    </xf>
    <xf numFmtId="2" fontId="22" fillId="0" borderId="0" xfId="0" applyNumberFormat="1" applyFont="1" applyFill="1" applyBorder="1" applyAlignment="1">
      <alignment horizontal="right" vertical="center" wrapText="1"/>
    </xf>
    <xf numFmtId="2" fontId="0" fillId="0" borderId="0" xfId="0" applyNumberFormat="1" applyAlignment="1">
      <alignment horizontal="right" wrapText="1"/>
    </xf>
    <xf numFmtId="2" fontId="8" fillId="0" borderId="1" xfId="0" quotePrefix="1" applyNumberFormat="1" applyFont="1" applyBorder="1" applyAlignment="1">
      <alignment horizontal="center" vertical="center" wrapText="1"/>
    </xf>
    <xf numFmtId="2" fontId="8"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73" fontId="5" fillId="0" borderId="1" xfId="0" applyNumberFormat="1" applyFont="1" applyFill="1" applyBorder="1" applyAlignment="1">
      <alignment horizontal="center" vertical="center" wrapText="1"/>
    </xf>
    <xf numFmtId="0" fontId="13" fillId="0" borderId="0" xfId="0" applyNumberFormat="1" applyFont="1" applyAlignment="1">
      <alignment vertical="center" wrapText="1"/>
    </xf>
    <xf numFmtId="0" fontId="66" fillId="0" borderId="1" xfId="796" applyNumberFormat="1" applyFont="1" applyFill="1" applyBorder="1" applyAlignment="1">
      <alignment horizontal="center" vertical="center" wrapText="1"/>
    </xf>
    <xf numFmtId="0" fontId="22" fillId="0" borderId="1" xfId="796" applyNumberFormat="1" applyFont="1" applyFill="1" applyBorder="1" applyAlignment="1">
      <alignment horizontal="center" vertical="center" wrapText="1"/>
    </xf>
    <xf numFmtId="2" fontId="15" fillId="0" borderId="2" xfId="1" applyNumberFormat="1" applyFont="1" applyFill="1" applyBorder="1" applyAlignment="1">
      <alignment horizontal="right" vertical="center" wrapText="1"/>
    </xf>
    <xf numFmtId="2" fontId="15" fillId="0" borderId="3" xfId="1" applyNumberFormat="1" applyFont="1" applyFill="1" applyBorder="1" applyAlignment="1">
      <alignment horizontal="right" vertical="center" wrapText="1"/>
    </xf>
    <xf numFmtId="2" fontId="0" fillId="0" borderId="1" xfId="0" applyNumberFormat="1" applyFont="1" applyFill="1" applyBorder="1" applyAlignment="1">
      <alignment horizontal="right" vertical="center" wrapText="1"/>
    </xf>
    <xf numFmtId="4" fontId="22" fillId="32" borderId="1" xfId="0" applyNumberFormat="1" applyFont="1" applyFill="1" applyBorder="1" applyAlignment="1">
      <alignment horizontal="right" vertical="center" wrapText="1"/>
    </xf>
    <xf numFmtId="0" fontId="12" fillId="0" borderId="0" xfId="0" applyNumberFormat="1" applyFont="1" applyAlignment="1">
      <alignment vertical="center" wrapText="1"/>
    </xf>
    <xf numFmtId="0" fontId="12" fillId="0" borderId="0" xfId="0" applyNumberFormat="1" applyFont="1" applyAlignment="1">
      <alignment horizontal="right" vertical="center" wrapText="1"/>
    </xf>
    <xf numFmtId="49" fontId="13" fillId="0" borderId="2" xfId="0" applyNumberFormat="1" applyFont="1" applyFill="1" applyBorder="1" applyAlignment="1">
      <alignment horizontal="left" vertical="center" wrapText="1"/>
    </xf>
    <xf numFmtId="0" fontId="66" fillId="0" borderId="1" xfId="904" applyNumberFormat="1" applyFont="1" applyFill="1" applyBorder="1" applyAlignment="1">
      <alignment horizontal="center" vertical="center" wrapText="1"/>
    </xf>
    <xf numFmtId="0" fontId="99" fillId="0" borderId="1" xfId="904" applyNumberFormat="1" applyFont="1" applyFill="1" applyBorder="1" applyAlignment="1">
      <alignment horizontal="center" vertical="center" wrapText="1"/>
    </xf>
    <xf numFmtId="0" fontId="99" fillId="0" borderId="1" xfId="873" applyNumberFormat="1" applyFont="1" applyFill="1" applyBorder="1" applyAlignment="1">
      <alignment horizontal="center" vertical="center" wrapText="1"/>
    </xf>
    <xf numFmtId="49" fontId="66" fillId="0" borderId="1" xfId="2" applyNumberFormat="1" applyFont="1" applyFill="1" applyBorder="1" applyAlignment="1" applyProtection="1">
      <alignment horizontal="center" vertical="center" wrapText="1"/>
    </xf>
    <xf numFmtId="0" fontId="14" fillId="0" borderId="0" xfId="0" applyNumberFormat="1" applyFont="1" applyAlignment="1">
      <alignment vertical="top" wrapText="1"/>
    </xf>
    <xf numFmtId="0" fontId="13" fillId="0" borderId="0" xfId="0" applyNumberFormat="1" applyFont="1" applyAlignment="1">
      <alignment horizontal="center" vertical="top" wrapText="1"/>
    </xf>
    <xf numFmtId="49" fontId="66" fillId="3" borderId="1" xfId="796" applyNumberFormat="1" applyFont="1" applyFill="1" applyBorder="1" applyAlignment="1">
      <alignment horizontal="center" vertical="top" wrapText="1"/>
    </xf>
    <xf numFmtId="49" fontId="66" fillId="2" borderId="1" xfId="796" applyNumberFormat="1" applyFont="1" applyFill="1" applyBorder="1" applyAlignment="1">
      <alignment horizontal="center" vertical="top" wrapText="1"/>
    </xf>
    <xf numFmtId="49" fontId="7" fillId="32" borderId="1" xfId="796" applyNumberFormat="1" applyFont="1" applyFill="1" applyBorder="1" applyAlignment="1">
      <alignment horizontal="center" vertical="top" wrapText="1"/>
    </xf>
    <xf numFmtId="49" fontId="7" fillId="31" borderId="2" xfId="0" applyNumberFormat="1" applyFont="1" applyFill="1" applyBorder="1" applyAlignment="1">
      <alignment horizontal="center" vertical="top" wrapText="1"/>
    </xf>
    <xf numFmtId="49" fontId="7" fillId="31" borderId="4" xfId="0" applyNumberFormat="1" applyFont="1" applyFill="1" applyBorder="1" applyAlignment="1">
      <alignment horizontal="center" vertical="top" wrapText="1"/>
    </xf>
    <xf numFmtId="49" fontId="7" fillId="5" borderId="4" xfId="873" applyNumberFormat="1" applyFont="1" applyFill="1" applyBorder="1" applyAlignment="1">
      <alignment horizontal="center" vertical="top" wrapText="1"/>
    </xf>
    <xf numFmtId="49" fontId="7" fillId="0" borderId="4" xfId="904" applyNumberFormat="1" applyFont="1" applyFill="1" applyBorder="1" applyAlignment="1">
      <alignment horizontal="center" vertical="top" wrapText="1"/>
    </xf>
    <xf numFmtId="49" fontId="7" fillId="32" borderId="2" xfId="796" applyNumberFormat="1" applyFont="1" applyFill="1" applyBorder="1" applyAlignment="1">
      <alignment horizontal="center" vertical="top" wrapText="1"/>
    </xf>
    <xf numFmtId="0" fontId="5" fillId="0" borderId="0" xfId="0" applyFont="1" applyFill="1" applyAlignment="1">
      <alignment horizontal="center" vertical="top" wrapText="1"/>
    </xf>
    <xf numFmtId="49" fontId="7" fillId="0" borderId="0" xfId="0" applyNumberFormat="1" applyFont="1" applyFill="1" applyAlignment="1">
      <alignment horizontal="center" vertical="top" wrapText="1"/>
    </xf>
    <xf numFmtId="49" fontId="7" fillId="0" borderId="0" xfId="0" applyNumberFormat="1" applyFont="1" applyFill="1" applyBorder="1" applyAlignment="1">
      <alignment horizontal="center" vertical="top" wrapText="1"/>
    </xf>
    <xf numFmtId="2" fontId="78" fillId="0" borderId="0" xfId="0" applyNumberFormat="1" applyFont="1" applyAlignment="1">
      <alignment horizontal="right" vertical="center" wrapText="1"/>
    </xf>
    <xf numFmtId="49" fontId="7" fillId="0" borderId="1" xfId="0" applyNumberFormat="1" applyFont="1" applyFill="1" applyBorder="1" applyAlignment="1">
      <alignment horizontal="center" vertical="center" wrapText="1"/>
    </xf>
    <xf numFmtId="49" fontId="14" fillId="30" borderId="1" xfId="0" applyNumberFormat="1" applyFont="1" applyFill="1" applyBorder="1" applyAlignment="1">
      <alignment vertical="center" wrapText="1"/>
    </xf>
    <xf numFmtId="49" fontId="16" fillId="30" borderId="1" xfId="0" applyNumberFormat="1" applyFont="1" applyFill="1" applyBorder="1" applyAlignment="1">
      <alignment horizontal="center" vertical="center" wrapText="1"/>
    </xf>
    <xf numFmtId="0" fontId="14" fillId="30" borderId="1" xfId="0" applyNumberFormat="1" applyFont="1" applyFill="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42"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2" fontId="82" fillId="6" borderId="0" xfId="0" applyNumberFormat="1" applyFont="1" applyFill="1" applyBorder="1" applyAlignment="1">
      <alignment horizontal="center" vertical="center" wrapText="1"/>
    </xf>
    <xf numFmtId="0" fontId="0" fillId="36" borderId="32" xfId="0" applyFill="1" applyBorder="1" applyAlignment="1">
      <alignment horizontal="center" wrapText="1"/>
    </xf>
    <xf numFmtId="0" fontId="0" fillId="36" borderId="35" xfId="0" applyFill="1" applyBorder="1" applyAlignment="1">
      <alignment horizontal="center" wrapText="1"/>
    </xf>
    <xf numFmtId="0" fontId="0" fillId="36" borderId="38" xfId="0" applyFill="1" applyBorder="1" applyAlignment="1">
      <alignment horizontal="center" wrapText="1"/>
    </xf>
    <xf numFmtId="0" fontId="0" fillId="36" borderId="33" xfId="0" applyFill="1" applyBorder="1" applyAlignment="1">
      <alignment horizontal="center" wrapText="1"/>
    </xf>
    <xf numFmtId="0" fontId="0" fillId="36" borderId="34" xfId="0" applyFill="1" applyBorder="1" applyAlignment="1">
      <alignment horizontal="center" wrapText="1"/>
    </xf>
    <xf numFmtId="0" fontId="0" fillId="36" borderId="36" xfId="0" applyFill="1" applyBorder="1"/>
    <xf numFmtId="0" fontId="0" fillId="36" borderId="40" xfId="0" applyFill="1" applyBorder="1"/>
    <xf numFmtId="0" fontId="87" fillId="0" borderId="28" xfId="0" applyFont="1" applyBorder="1" applyAlignment="1">
      <alignment horizontal="center" vertical="center"/>
    </xf>
    <xf numFmtId="0" fontId="87" fillId="0" borderId="0" xfId="0" applyFont="1" applyAlignment="1">
      <alignment horizontal="center" vertical="center"/>
    </xf>
    <xf numFmtId="0" fontId="87" fillId="0" borderId="37" xfId="0" applyFont="1" applyBorder="1" applyAlignment="1">
      <alignment horizontal="center" vertical="center"/>
    </xf>
    <xf numFmtId="0" fontId="88" fillId="0" borderId="25" xfId="0" applyFont="1" applyBorder="1" applyAlignment="1">
      <alignment horizontal="center" vertical="center"/>
    </xf>
    <xf numFmtId="0" fontId="88" fillId="0" borderId="26" xfId="0" applyFont="1" applyBorder="1" applyAlignment="1">
      <alignment horizontal="center" vertical="center"/>
    </xf>
    <xf numFmtId="0" fontId="88" fillId="0" borderId="27" xfId="0" applyFont="1" applyBorder="1" applyAlignment="1">
      <alignment horizontal="center" vertical="center"/>
    </xf>
    <xf numFmtId="0" fontId="89" fillId="0" borderId="28" xfId="0" applyFont="1" applyBorder="1" applyAlignment="1">
      <alignment horizontal="center" vertical="center"/>
    </xf>
    <xf numFmtId="0" fontId="89" fillId="0" borderId="0" xfId="0" applyFont="1" applyAlignment="1">
      <alignment horizontal="center" vertical="center"/>
    </xf>
    <xf numFmtId="0" fontId="0" fillId="36" borderId="39" xfId="0" applyFill="1" applyBorder="1" applyAlignment="1">
      <alignment horizontal="center" wrapText="1"/>
    </xf>
    <xf numFmtId="0" fontId="82" fillId="35" borderId="0" xfId="0" applyNumberFormat="1" applyFont="1" applyFill="1" applyAlignment="1">
      <alignment horizontal="center" vertical="center" wrapText="1"/>
    </xf>
    <xf numFmtId="0" fontId="82" fillId="33" borderId="0" xfId="0" applyNumberFormat="1" applyFont="1" applyFill="1" applyAlignment="1">
      <alignment horizontal="center" vertical="center" wrapText="1"/>
    </xf>
    <xf numFmtId="49" fontId="86" fillId="34" borderId="0" xfId="0" applyNumberFormat="1" applyFont="1" applyFill="1" applyBorder="1" applyAlignment="1">
      <alignment horizontal="left" vertical="center" wrapText="1"/>
    </xf>
    <xf numFmtId="49" fontId="12" fillId="0" borderId="2" xfId="0" applyNumberFormat="1" applyFont="1" applyFill="1" applyBorder="1" applyAlignment="1">
      <alignment horizontal="center" vertical="top" wrapText="1"/>
    </xf>
    <xf numFmtId="49" fontId="12" fillId="0" borderId="4" xfId="0" applyNumberFormat="1" applyFont="1" applyFill="1" applyBorder="1" applyAlignment="1">
      <alignment horizontal="center" vertical="top" wrapText="1"/>
    </xf>
    <xf numFmtId="49" fontId="12" fillId="0" borderId="3" xfId="0" applyNumberFormat="1" applyFont="1" applyFill="1" applyBorder="1" applyAlignment="1">
      <alignment horizontal="center" vertical="top" wrapText="1"/>
    </xf>
    <xf numFmtId="49" fontId="12" fillId="0" borderId="2" xfId="1" applyNumberFormat="1" applyFont="1" applyFill="1" applyBorder="1" applyAlignment="1">
      <alignment horizontal="center" vertical="top" wrapText="1"/>
    </xf>
    <xf numFmtId="49" fontId="12" fillId="0" borderId="4" xfId="1" applyNumberFormat="1" applyFont="1" applyFill="1" applyBorder="1" applyAlignment="1">
      <alignment horizontal="center" vertical="top" wrapText="1"/>
    </xf>
    <xf numFmtId="49" fontId="12" fillId="0" borderId="3" xfId="1" applyNumberFormat="1" applyFont="1" applyFill="1" applyBorder="1" applyAlignment="1">
      <alignment horizontal="center" vertical="top" wrapText="1"/>
    </xf>
    <xf numFmtId="49" fontId="101" fillId="0" borderId="2" xfId="0" applyNumberFormat="1" applyFont="1" applyFill="1" applyBorder="1" applyAlignment="1">
      <alignment horizontal="center" vertical="top" wrapText="1"/>
    </xf>
    <xf numFmtId="49" fontId="101" fillId="0" borderId="3" xfId="0" applyNumberFormat="1" applyFont="1" applyFill="1" applyBorder="1" applyAlignment="1">
      <alignment horizontal="center" vertical="top" wrapText="1"/>
    </xf>
    <xf numFmtId="49" fontId="12" fillId="0" borderId="1" xfId="0" applyNumberFormat="1" applyFont="1" applyFill="1" applyBorder="1" applyAlignment="1">
      <alignment horizontal="center" vertical="top" wrapText="1"/>
    </xf>
    <xf numFmtId="49" fontId="101" fillId="0" borderId="4" xfId="0" applyNumberFormat="1" applyFont="1" applyFill="1" applyBorder="1" applyAlignment="1">
      <alignment horizontal="center" vertical="top" wrapText="1"/>
    </xf>
    <xf numFmtId="49" fontId="13" fillId="0" borderId="2" xfId="0" applyNumberFormat="1" applyFont="1" applyFill="1" applyBorder="1" applyAlignment="1">
      <alignment horizontal="center" vertical="top" wrapText="1"/>
    </xf>
    <xf numFmtId="49" fontId="13" fillId="0" borderId="3" xfId="0" applyNumberFormat="1" applyFont="1" applyFill="1" applyBorder="1" applyAlignment="1">
      <alignment horizontal="center" vertical="top" wrapText="1"/>
    </xf>
    <xf numFmtId="49" fontId="13" fillId="0" borderId="4" xfId="0" applyNumberFormat="1" applyFont="1" applyFill="1" applyBorder="1" applyAlignment="1">
      <alignment horizontal="center" vertical="top" wrapText="1"/>
    </xf>
    <xf numFmtId="49" fontId="12" fillId="0" borderId="1" xfId="634" applyNumberFormat="1" applyFont="1" applyFill="1" applyBorder="1" applyAlignment="1">
      <alignment horizontal="center" vertical="top" wrapText="1"/>
    </xf>
    <xf numFmtId="0" fontId="14" fillId="0" borderId="0" xfId="0" applyNumberFormat="1" applyFont="1" applyAlignment="1">
      <alignment horizontal="center" vertical="center" wrapText="1"/>
    </xf>
    <xf numFmtId="0" fontId="78" fillId="0" borderId="0" xfId="0" applyNumberFormat="1" applyFont="1" applyAlignment="1">
      <alignment horizontal="center" vertical="center" wrapText="1"/>
    </xf>
    <xf numFmtId="49" fontId="80" fillId="34" borderId="31" xfId="0" applyNumberFormat="1" applyFont="1" applyFill="1" applyBorder="1" applyAlignment="1">
      <alignment horizontal="left" vertical="center" wrapText="1"/>
    </xf>
    <xf numFmtId="0" fontId="80" fillId="34" borderId="31" xfId="0" applyNumberFormat="1" applyFont="1" applyFill="1" applyBorder="1" applyAlignment="1">
      <alignment horizontal="left" vertical="center" wrapText="1"/>
    </xf>
    <xf numFmtId="0" fontId="80" fillId="34" borderId="31" xfId="0" applyNumberFormat="1" applyFont="1" applyFill="1" applyBorder="1" applyAlignment="1">
      <alignment horizontal="right" vertical="center" wrapText="1"/>
    </xf>
    <xf numFmtId="0" fontId="12" fillId="37" borderId="2" xfId="0" applyNumberFormat="1" applyFont="1" applyFill="1" applyBorder="1" applyAlignment="1">
      <alignment horizontal="center" vertical="center" wrapText="1"/>
    </xf>
    <xf numFmtId="0" fontId="12" fillId="37" borderId="3" xfId="0" applyNumberFormat="1" applyFont="1" applyFill="1" applyBorder="1" applyAlignment="1">
      <alignment horizontal="center" vertical="center" wrapText="1"/>
    </xf>
    <xf numFmtId="0" fontId="13" fillId="37" borderId="5" xfId="0" applyNumberFormat="1" applyFont="1" applyFill="1" applyBorder="1" applyAlignment="1">
      <alignment horizontal="center" vertical="center" wrapText="1"/>
    </xf>
    <xf numFmtId="0" fontId="13" fillId="37" borderId="6" xfId="0" applyNumberFormat="1" applyFont="1" applyFill="1" applyBorder="1" applyAlignment="1">
      <alignment horizontal="center" vertical="center" wrapText="1"/>
    </xf>
    <xf numFmtId="2" fontId="12" fillId="37" borderId="5" xfId="0" applyNumberFormat="1" applyFont="1" applyFill="1" applyBorder="1" applyAlignment="1">
      <alignment horizontal="center" vertical="center" wrapText="1"/>
    </xf>
    <xf numFmtId="2" fontId="12" fillId="37" borderId="6" xfId="0" applyNumberFormat="1" applyFont="1" applyFill="1" applyBorder="1" applyAlignment="1">
      <alignment horizontal="center" vertical="center" wrapText="1"/>
    </xf>
    <xf numFmtId="49" fontId="12" fillId="37" borderId="2" xfId="0" applyNumberFormat="1" applyFont="1" applyFill="1" applyBorder="1" applyAlignment="1">
      <alignment horizontal="center" vertical="top" wrapText="1"/>
    </xf>
    <xf numFmtId="49" fontId="12" fillId="37" borderId="3" xfId="0" applyNumberFormat="1" applyFont="1" applyFill="1" applyBorder="1" applyAlignment="1">
      <alignment horizontal="center" vertical="top" wrapText="1"/>
    </xf>
    <xf numFmtId="49" fontId="12" fillId="37" borderId="2" xfId="0" applyNumberFormat="1" applyFont="1" applyFill="1" applyBorder="1" applyAlignment="1">
      <alignment horizontal="center" vertical="center" wrapText="1"/>
    </xf>
    <xf numFmtId="49" fontId="12" fillId="37" borderId="3" xfId="0" applyNumberFormat="1" applyFont="1" applyFill="1" applyBorder="1" applyAlignment="1">
      <alignment horizontal="center" vertical="center" wrapText="1"/>
    </xf>
    <xf numFmtId="2" fontId="12" fillId="37" borderId="2" xfId="0" applyNumberFormat="1" applyFont="1" applyFill="1" applyBorder="1" applyAlignment="1">
      <alignment horizontal="center" vertical="center" wrapText="1"/>
    </xf>
    <xf numFmtId="2" fontId="12" fillId="37" borderId="3" xfId="0" applyNumberFormat="1" applyFont="1" applyFill="1" applyBorder="1" applyAlignment="1">
      <alignment horizontal="center" vertical="center" wrapText="1"/>
    </xf>
    <xf numFmtId="49" fontId="7" fillId="0" borderId="1" xfId="873" applyNumberFormat="1" applyFont="1" applyFill="1" applyBorder="1" applyAlignment="1">
      <alignment horizontal="center" vertical="top" wrapText="1"/>
    </xf>
    <xf numFmtId="49" fontId="7" fillId="0" borderId="2" xfId="0" applyNumberFormat="1" applyFont="1" applyFill="1" applyBorder="1" applyAlignment="1">
      <alignment horizontal="center" vertical="top" wrapText="1"/>
    </xf>
    <xf numFmtId="49" fontId="7" fillId="0" borderId="4" xfId="0" applyNumberFormat="1" applyFont="1" applyFill="1" applyBorder="1" applyAlignment="1">
      <alignment horizontal="center" vertical="top" wrapText="1"/>
    </xf>
    <xf numFmtId="49" fontId="7" fillId="0" borderId="3" xfId="0" applyNumberFormat="1" applyFont="1" applyFill="1" applyBorder="1" applyAlignment="1">
      <alignment horizontal="center" vertical="top" wrapText="1"/>
    </xf>
    <xf numFmtId="49" fontId="7" fillId="0" borderId="1" xfId="904" applyNumberFormat="1" applyFont="1" applyFill="1" applyBorder="1" applyAlignment="1">
      <alignment horizontal="center" vertical="top" wrapText="1"/>
    </xf>
    <xf numFmtId="49" fontId="7" fillId="0" borderId="1" xfId="736" applyNumberFormat="1" applyFont="1" applyFill="1" applyBorder="1" applyAlignment="1">
      <alignment horizontal="center" vertical="top" wrapText="1"/>
    </xf>
    <xf numFmtId="49" fontId="7" fillId="0" borderId="1" xfId="634" applyNumberFormat="1" applyFont="1" applyFill="1" applyBorder="1" applyAlignment="1">
      <alignment horizontal="center" vertical="top" wrapText="1"/>
    </xf>
    <xf numFmtId="49" fontId="86" fillId="34" borderId="31" xfId="0" applyNumberFormat="1" applyFont="1" applyFill="1" applyBorder="1" applyAlignment="1">
      <alignment horizontal="left" vertical="center" wrapText="1"/>
    </xf>
    <xf numFmtId="0" fontId="86" fillId="34" borderId="31" xfId="0" applyNumberFormat="1" applyFont="1" applyFill="1" applyBorder="1" applyAlignment="1">
      <alignment horizontal="left" vertical="center" wrapText="1"/>
    </xf>
    <xf numFmtId="0" fontId="86" fillId="34" borderId="31" xfId="0" applyNumberFormat="1" applyFont="1" applyFill="1" applyBorder="1" applyAlignment="1">
      <alignment horizontal="right" vertical="center" wrapText="1"/>
    </xf>
    <xf numFmtId="49" fontId="94" fillId="0" borderId="2" xfId="0" applyNumberFormat="1" applyFont="1" applyFill="1" applyBorder="1" applyAlignment="1">
      <alignment horizontal="center" vertical="center" wrapText="1"/>
    </xf>
    <xf numFmtId="49" fontId="94" fillId="0" borderId="4" xfId="0" applyNumberFormat="1" applyFont="1" applyFill="1" applyBorder="1" applyAlignment="1">
      <alignment horizontal="center" vertical="center" wrapText="1"/>
    </xf>
    <xf numFmtId="49" fontId="94" fillId="0" borderId="3"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2" xfId="634" applyNumberFormat="1" applyFont="1" applyFill="1" applyBorder="1" applyAlignment="1">
      <alignment horizontal="center" vertical="center" wrapText="1"/>
    </xf>
    <xf numFmtId="49" fontId="7" fillId="0" borderId="4" xfId="634" applyNumberFormat="1" applyFont="1" applyFill="1" applyBorder="1" applyAlignment="1">
      <alignment horizontal="center" vertical="center" wrapText="1"/>
    </xf>
    <xf numFmtId="49" fontId="7" fillId="0" borderId="3" xfId="634" applyNumberFormat="1" applyFont="1" applyFill="1" applyBorder="1" applyAlignment="1">
      <alignment horizontal="center" vertical="center" wrapText="1"/>
    </xf>
    <xf numFmtId="49" fontId="7" fillId="0" borderId="1" xfId="634" applyNumberFormat="1" applyFont="1" applyFill="1" applyBorder="1" applyAlignment="1">
      <alignment horizontal="center" vertical="center" wrapText="1"/>
    </xf>
    <xf numFmtId="49" fontId="7" fillId="0" borderId="2" xfId="1" applyNumberFormat="1" applyFont="1" applyFill="1" applyBorder="1" applyAlignment="1">
      <alignment horizontal="center" vertical="top" wrapText="1"/>
    </xf>
    <xf numFmtId="49" fontId="7" fillId="0" borderId="3" xfId="1" applyNumberFormat="1" applyFont="1" applyFill="1" applyBorder="1" applyAlignment="1">
      <alignment horizontal="center" vertical="top" wrapText="1"/>
    </xf>
    <xf numFmtId="49" fontId="7" fillId="0" borderId="1" xfId="0" applyNumberFormat="1" applyFont="1" applyFill="1" applyBorder="1" applyAlignment="1">
      <alignment horizontal="center" vertical="center" wrapText="1"/>
    </xf>
    <xf numFmtId="49" fontId="12" fillId="39" borderId="6" xfId="0" applyNumberFormat="1" applyFont="1" applyFill="1" applyBorder="1" applyAlignment="1">
      <alignment horizontal="center" vertical="center" wrapText="1"/>
    </xf>
    <xf numFmtId="49" fontId="16" fillId="39" borderId="6" xfId="0" applyNumberFormat="1" applyFont="1" applyFill="1" applyBorder="1" applyAlignment="1">
      <alignment horizontal="center" vertical="center" wrapText="1"/>
    </xf>
    <xf numFmtId="0" fontId="14" fillId="39" borderId="6" xfId="0" applyNumberFormat="1" applyFont="1" applyFill="1" applyBorder="1" applyAlignment="1">
      <alignment horizontal="center" vertical="center" wrapText="1"/>
    </xf>
    <xf numFmtId="9" fontId="14" fillId="39" borderId="6" xfId="0" applyNumberFormat="1" applyFont="1" applyFill="1" applyBorder="1" applyAlignment="1">
      <alignment horizontal="center" vertical="center" wrapText="1"/>
    </xf>
    <xf numFmtId="2" fontId="14" fillId="39" borderId="6" xfId="0" applyNumberFormat="1" applyFont="1" applyFill="1" applyBorder="1" applyAlignment="1">
      <alignment horizontal="center" vertical="center" wrapText="1"/>
    </xf>
    <xf numFmtId="4" fontId="14" fillId="39" borderId="6" xfId="0" applyNumberFormat="1" applyFont="1" applyFill="1" applyBorder="1" applyAlignment="1">
      <alignment horizontal="center" vertical="center" wrapText="1"/>
    </xf>
    <xf numFmtId="49" fontId="14" fillId="39" borderId="6" xfId="0" applyNumberFormat="1" applyFont="1" applyFill="1" applyBorder="1" applyAlignment="1">
      <alignment horizontal="right" vertical="center" wrapText="1"/>
    </xf>
    <xf numFmtId="49" fontId="72" fillId="39" borderId="6" xfId="0" applyNumberFormat="1" applyFont="1" applyFill="1" applyBorder="1" applyAlignment="1">
      <alignment horizontal="center" vertical="center" wrapText="1"/>
    </xf>
    <xf numFmtId="49" fontId="69" fillId="39" borderId="6" xfId="0" applyNumberFormat="1" applyFont="1" applyFill="1" applyBorder="1" applyAlignment="1">
      <alignment horizontal="center" vertical="center" wrapText="1"/>
    </xf>
    <xf numFmtId="0" fontId="70" fillId="39" borderId="6" xfId="0" applyNumberFormat="1" applyFont="1" applyFill="1" applyBorder="1" applyAlignment="1">
      <alignment horizontal="center" vertical="center" wrapText="1"/>
    </xf>
    <xf numFmtId="2" fontId="72" fillId="39" borderId="6" xfId="0" applyNumberFormat="1" applyFont="1" applyFill="1" applyBorder="1" applyAlignment="1">
      <alignment horizontal="center" vertical="center" wrapText="1"/>
    </xf>
    <xf numFmtId="49" fontId="69" fillId="39" borderId="7" xfId="0" applyNumberFormat="1" applyFont="1" applyFill="1" applyBorder="1" applyAlignment="1">
      <alignment horizontal="center" vertical="center" wrapText="1"/>
    </xf>
    <xf numFmtId="0" fontId="70" fillId="39" borderId="7" xfId="0" applyNumberFormat="1" applyFont="1" applyFill="1" applyBorder="1" applyAlignment="1">
      <alignment horizontal="center" vertical="center" wrapText="1"/>
    </xf>
    <xf numFmtId="2" fontId="72" fillId="39" borderId="7" xfId="0" applyNumberFormat="1" applyFont="1" applyFill="1" applyBorder="1" applyAlignment="1">
      <alignment horizontal="center" vertical="center" wrapText="1"/>
    </xf>
    <xf numFmtId="49" fontId="72" fillId="39" borderId="7" xfId="0" applyNumberFormat="1" applyFont="1" applyFill="1" applyBorder="1" applyAlignment="1">
      <alignment horizontal="center" vertical="center" wrapText="1"/>
    </xf>
    <xf numFmtId="49" fontId="14" fillId="39" borderId="1" xfId="0" applyNumberFormat="1" applyFont="1" applyFill="1" applyBorder="1" applyAlignment="1">
      <alignment horizontal="center" vertical="center" wrapText="1"/>
    </xf>
    <xf numFmtId="49" fontId="16" fillId="39" borderId="1" xfId="0" applyNumberFormat="1" applyFont="1" applyFill="1" applyBorder="1" applyAlignment="1">
      <alignment horizontal="center" vertical="center" wrapText="1"/>
    </xf>
    <xf numFmtId="0" fontId="14" fillId="39" borderId="1" xfId="0" applyNumberFormat="1" applyFont="1" applyFill="1" applyBorder="1" applyAlignment="1">
      <alignment horizontal="center" vertical="center" wrapText="1"/>
    </xf>
    <xf numFmtId="2" fontId="14" fillId="39" borderId="1" xfId="0" applyNumberFormat="1" applyFont="1" applyFill="1" applyBorder="1" applyAlignment="1">
      <alignment horizontal="center" vertical="center" wrapText="1"/>
    </xf>
    <xf numFmtId="4" fontId="14" fillId="39" borderId="1" xfId="0" applyNumberFormat="1" applyFont="1" applyFill="1" applyBorder="1" applyAlignment="1">
      <alignment horizontal="center" vertical="center" wrapText="1"/>
    </xf>
    <xf numFmtId="4" fontId="70" fillId="40" borderId="7" xfId="0" applyNumberFormat="1" applyFont="1" applyFill="1" applyBorder="1" applyAlignment="1">
      <alignment horizontal="right" vertical="center" wrapText="1"/>
    </xf>
    <xf numFmtId="49" fontId="22" fillId="39" borderId="1" xfId="0" applyNumberFormat="1" applyFont="1" applyFill="1" applyBorder="1" applyAlignment="1">
      <alignment horizontal="center" vertical="top" wrapText="1"/>
    </xf>
    <xf numFmtId="49" fontId="12" fillId="39" borderId="1" xfId="0" applyNumberFormat="1" applyFont="1" applyFill="1" applyBorder="1" applyAlignment="1">
      <alignment horizontal="center" vertical="center" wrapText="1"/>
    </xf>
    <xf numFmtId="49" fontId="66" fillId="39" borderId="1" xfId="0" applyNumberFormat="1" applyFont="1" applyFill="1" applyBorder="1" applyAlignment="1">
      <alignment horizontal="center" vertical="center" wrapText="1"/>
    </xf>
    <xf numFmtId="9" fontId="22" fillId="39" borderId="1" xfId="0" applyNumberFormat="1" applyFont="1" applyFill="1" applyBorder="1" applyAlignment="1">
      <alignment horizontal="center" vertical="center" wrapText="1"/>
    </xf>
    <xf numFmtId="2" fontId="12" fillId="39" borderId="1" xfId="0" applyNumberFormat="1" applyFont="1" applyFill="1" applyBorder="1" applyAlignment="1">
      <alignment horizontal="center" vertical="center" wrapText="1"/>
    </xf>
    <xf numFmtId="0" fontId="22" fillId="39" borderId="1" xfId="0" applyNumberFormat="1" applyFont="1" applyFill="1" applyBorder="1" applyAlignment="1">
      <alignment horizontal="center" vertical="center" wrapText="1"/>
    </xf>
    <xf numFmtId="49" fontId="13" fillId="39" borderId="7" xfId="0" applyNumberFormat="1" applyFont="1" applyFill="1" applyBorder="1" applyAlignment="1">
      <alignment horizontal="center" vertical="center" wrapText="1"/>
    </xf>
    <xf numFmtId="9" fontId="70" fillId="40" borderId="7" xfId="0" applyNumberFormat="1" applyFont="1" applyFill="1" applyBorder="1" applyAlignment="1">
      <alignment horizontal="center" vertical="center" wrapText="1"/>
    </xf>
    <xf numFmtId="4" fontId="70" fillId="39" borderId="7" xfId="0" applyNumberFormat="1" applyFont="1" applyFill="1" applyBorder="1" applyAlignment="1">
      <alignment horizontal="center" vertical="center" wrapText="1"/>
    </xf>
    <xf numFmtId="0" fontId="12" fillId="39" borderId="0" xfId="0" applyNumberFormat="1" applyFont="1" applyFill="1" applyAlignment="1">
      <alignment horizontal="center" vertical="center" wrapText="1"/>
    </xf>
    <xf numFmtId="49" fontId="86" fillId="39" borderId="18" xfId="0" applyNumberFormat="1" applyFont="1" applyFill="1" applyBorder="1" applyAlignment="1">
      <alignment horizontal="center" vertical="top" wrapText="1"/>
    </xf>
    <xf numFmtId="49" fontId="104" fillId="39" borderId="19" xfId="0" applyNumberFormat="1" applyFont="1" applyFill="1" applyBorder="1" applyAlignment="1">
      <alignment horizontal="center" vertical="center" wrapText="1"/>
    </xf>
    <xf numFmtId="49" fontId="80" fillId="39" borderId="19" xfId="0" applyNumberFormat="1" applyFont="1" applyFill="1" applyBorder="1" applyAlignment="1">
      <alignment horizontal="center" vertical="center" wrapText="1"/>
    </xf>
    <xf numFmtId="0" fontId="86" fillId="39" borderId="19" xfId="0" applyNumberFormat="1" applyFont="1" applyFill="1" applyBorder="1" applyAlignment="1">
      <alignment horizontal="center" vertical="center" wrapText="1"/>
    </xf>
    <xf numFmtId="2" fontId="86" fillId="39" borderId="19" xfId="0" applyNumberFormat="1" applyFont="1" applyFill="1" applyBorder="1" applyAlignment="1">
      <alignment horizontal="center" vertical="center" wrapText="1"/>
    </xf>
    <xf numFmtId="4" fontId="86" fillId="39" borderId="19" xfId="0" applyNumberFormat="1" applyFont="1" applyFill="1" applyBorder="1" applyAlignment="1">
      <alignment horizontal="center" vertical="center" wrapText="1"/>
    </xf>
    <xf numFmtId="4" fontId="86" fillId="39" borderId="20" xfId="0" applyNumberFormat="1" applyFont="1" applyFill="1" applyBorder="1" applyAlignment="1">
      <alignment horizontal="right" vertical="center" wrapText="1"/>
    </xf>
    <xf numFmtId="49" fontId="14" fillId="39" borderId="1" xfId="0" applyNumberFormat="1" applyFont="1" applyFill="1" applyBorder="1" applyAlignment="1">
      <alignment horizontal="center" vertical="top" wrapText="1"/>
    </xf>
    <xf numFmtId="49" fontId="22" fillId="39" borderId="6" xfId="0" applyNumberFormat="1" applyFont="1" applyFill="1" applyBorder="1" applyAlignment="1">
      <alignment horizontal="center" vertical="center" wrapText="1"/>
    </xf>
    <xf numFmtId="4" fontId="14" fillId="39" borderId="6" xfId="0" applyNumberFormat="1" applyFont="1" applyFill="1" applyBorder="1" applyAlignment="1">
      <alignment horizontal="right" vertical="center" wrapText="1"/>
    </xf>
    <xf numFmtId="49" fontId="70" fillId="39" borderId="1" xfId="0" applyNumberFormat="1" applyFont="1" applyFill="1" applyBorder="1" applyAlignment="1">
      <alignment horizontal="center" vertical="top" wrapText="1"/>
    </xf>
    <xf numFmtId="49" fontId="70" fillId="39" borderId="6" xfId="0" applyNumberFormat="1" applyFont="1" applyFill="1" applyBorder="1" applyAlignment="1">
      <alignment horizontal="center" vertical="center" wrapText="1"/>
    </xf>
    <xf numFmtId="49" fontId="79" fillId="39" borderId="6" xfId="0" applyNumberFormat="1" applyFont="1" applyFill="1" applyBorder="1" applyAlignment="1">
      <alignment horizontal="center" vertical="center" wrapText="1"/>
    </xf>
    <xf numFmtId="2" fontId="70" fillId="39" borderId="6" xfId="0" applyNumberFormat="1" applyFont="1" applyFill="1" applyBorder="1" applyAlignment="1">
      <alignment horizontal="center" vertical="center" wrapText="1"/>
    </xf>
    <xf numFmtId="4" fontId="70" fillId="39" borderId="6" xfId="0" applyNumberFormat="1" applyFont="1" applyFill="1" applyBorder="1" applyAlignment="1">
      <alignment horizontal="center" vertical="center" wrapText="1"/>
    </xf>
    <xf numFmtId="4" fontId="70" fillId="39" borderId="6" xfId="0" applyNumberFormat="1" applyFont="1" applyFill="1" applyBorder="1" applyAlignment="1">
      <alignment horizontal="right" vertical="center" wrapText="1"/>
    </xf>
    <xf numFmtId="49" fontId="70" fillId="39" borderId="3" xfId="0" applyNumberFormat="1" applyFont="1" applyFill="1" applyBorder="1" applyAlignment="1">
      <alignment horizontal="center" vertical="top" wrapText="1"/>
    </xf>
    <xf numFmtId="49" fontId="79" fillId="39" borderId="7" xfId="0" applyNumberFormat="1" applyFont="1" applyFill="1" applyBorder="1" applyAlignment="1">
      <alignment horizontal="center" vertical="center" wrapText="1"/>
    </xf>
    <xf numFmtId="2" fontId="70" fillId="39" borderId="7" xfId="0" applyNumberFormat="1" applyFont="1" applyFill="1" applyBorder="1" applyAlignment="1">
      <alignment horizontal="center" vertical="center" wrapText="1"/>
    </xf>
    <xf numFmtId="4" fontId="70" fillId="39" borderId="7" xfId="0" applyNumberFormat="1" applyFont="1" applyFill="1" applyBorder="1" applyAlignment="1">
      <alignment horizontal="right" vertical="center" wrapText="1"/>
    </xf>
    <xf numFmtId="49" fontId="70" fillId="39" borderId="7" xfId="0" applyNumberFormat="1" applyFont="1" applyFill="1" applyBorder="1" applyAlignment="1">
      <alignment horizontal="center" vertical="center" wrapText="1"/>
    </xf>
    <xf numFmtId="49" fontId="22" fillId="39" borderId="1" xfId="0" applyNumberFormat="1" applyFont="1" applyFill="1" applyBorder="1" applyAlignment="1">
      <alignment horizontal="center" vertical="center" wrapText="1"/>
    </xf>
    <xf numFmtId="2" fontId="22" fillId="39" borderId="1" xfId="0" applyNumberFormat="1" applyFont="1" applyFill="1" applyBorder="1" applyAlignment="1">
      <alignment horizontal="center" vertical="center" wrapText="1"/>
    </xf>
    <xf numFmtId="4" fontId="22" fillId="39" borderId="1" xfId="0" applyNumberFormat="1" applyFont="1" applyFill="1" applyBorder="1" applyAlignment="1">
      <alignment horizontal="center" vertical="center" wrapText="1"/>
    </xf>
    <xf numFmtId="4" fontId="22" fillId="39" borderId="1" xfId="0" applyNumberFormat="1" applyFont="1" applyFill="1" applyBorder="1" applyAlignment="1">
      <alignment horizontal="right" vertical="center" wrapText="1"/>
    </xf>
    <xf numFmtId="49" fontId="14" fillId="39" borderId="7" xfId="0" applyNumberFormat="1" applyFont="1" applyFill="1" applyBorder="1" applyAlignment="1">
      <alignment horizontal="center" vertical="center" wrapText="1"/>
    </xf>
    <xf numFmtId="49" fontId="14" fillId="39" borderId="0" xfId="0" applyNumberFormat="1" applyFont="1" applyFill="1" applyAlignment="1">
      <alignment horizontal="center" vertical="top" wrapText="1"/>
    </xf>
    <xf numFmtId="49" fontId="14" fillId="39" borderId="0" xfId="0" applyNumberFormat="1" applyFont="1" applyFill="1" applyAlignment="1">
      <alignment horizontal="center" vertical="center" wrapText="1"/>
    </xf>
    <xf numFmtId="49" fontId="16" fillId="39" borderId="0" xfId="0" applyNumberFormat="1" applyFont="1" applyFill="1" applyAlignment="1">
      <alignment horizontal="center" vertical="center" wrapText="1"/>
    </xf>
    <xf numFmtId="0" fontId="22" fillId="39" borderId="0" xfId="0" applyNumberFormat="1" applyFont="1" applyFill="1" applyAlignment="1">
      <alignment horizontal="center" vertical="center" wrapText="1"/>
    </xf>
    <xf numFmtId="2" fontId="14" fillId="39" borderId="0" xfId="0" applyNumberFormat="1" applyFont="1" applyFill="1" applyAlignment="1">
      <alignment horizontal="center" vertical="center" wrapText="1"/>
    </xf>
    <xf numFmtId="4" fontId="14" fillId="39" borderId="0" xfId="0" applyNumberFormat="1" applyFont="1" applyFill="1" applyAlignment="1">
      <alignment horizontal="center" vertical="center" wrapText="1"/>
    </xf>
    <xf numFmtId="4" fontId="14" fillId="39" borderId="0" xfId="0" applyNumberFormat="1" applyFont="1" applyFill="1" applyAlignment="1">
      <alignment horizontal="right" vertical="center" wrapText="1"/>
    </xf>
    <xf numFmtId="49" fontId="66" fillId="39" borderId="1" xfId="0" applyNumberFormat="1" applyFont="1" applyFill="1" applyBorder="1" applyAlignment="1">
      <alignment horizontal="center" vertical="top" wrapText="1"/>
    </xf>
    <xf numFmtId="49" fontId="66" fillId="39" borderId="1" xfId="647" applyNumberFormat="1" applyFont="1" applyFill="1" applyBorder="1" applyAlignment="1">
      <alignment horizontal="center" vertical="center" wrapText="1"/>
    </xf>
    <xf numFmtId="0" fontId="66" fillId="39" borderId="1" xfId="647" applyNumberFormat="1" applyFont="1" applyFill="1" applyBorder="1" applyAlignment="1">
      <alignment horizontal="center" vertical="center" wrapText="1"/>
    </xf>
    <xf numFmtId="2" fontId="22" fillId="39" borderId="1" xfId="906" applyNumberFormat="1" applyFont="1" applyFill="1" applyBorder="1" applyAlignment="1">
      <alignment horizontal="center" vertical="center" wrapText="1"/>
    </xf>
    <xf numFmtId="2" fontId="22" fillId="39" borderId="1" xfId="0" applyNumberFormat="1" applyFont="1" applyFill="1" applyBorder="1" applyAlignment="1">
      <alignment horizontal="right" vertical="center" wrapText="1"/>
    </xf>
    <xf numFmtId="49" fontId="66" fillId="39" borderId="6" xfId="0" applyNumberFormat="1" applyFont="1" applyFill="1" applyBorder="1" applyAlignment="1">
      <alignment horizontal="center" vertical="center" wrapText="1"/>
    </xf>
    <xf numFmtId="0" fontId="66" fillId="39" borderId="6" xfId="0" applyNumberFormat="1" applyFont="1" applyFill="1" applyBorder="1" applyAlignment="1">
      <alignment horizontal="center" vertical="center" wrapText="1"/>
    </xf>
    <xf numFmtId="2" fontId="22" fillId="39" borderId="6" xfId="0" applyNumberFormat="1" applyFont="1" applyFill="1" applyBorder="1" applyAlignment="1">
      <alignment horizontal="center" vertical="center" wrapText="1"/>
    </xf>
    <xf numFmtId="0" fontId="22" fillId="39" borderId="6" xfId="0" applyNumberFormat="1" applyFont="1" applyFill="1" applyBorder="1" applyAlignment="1">
      <alignment horizontal="center" vertical="center" wrapText="1"/>
    </xf>
    <xf numFmtId="49" fontId="66" fillId="39" borderId="3" xfId="0" applyNumberFormat="1" applyFont="1" applyFill="1" applyBorder="1" applyAlignment="1">
      <alignment horizontal="center" vertical="top" wrapText="1"/>
    </xf>
    <xf numFmtId="49" fontId="66" fillId="39" borderId="7" xfId="0" applyNumberFormat="1" applyFont="1" applyFill="1" applyBorder="1" applyAlignment="1">
      <alignment horizontal="center" vertical="center" wrapText="1"/>
    </xf>
    <xf numFmtId="0" fontId="66" fillId="39" borderId="7" xfId="0" applyNumberFormat="1" applyFont="1" applyFill="1" applyBorder="1" applyAlignment="1">
      <alignment horizontal="center" vertical="center" wrapText="1"/>
    </xf>
    <xf numFmtId="2" fontId="22" fillId="39" borderId="7" xfId="0" applyNumberFormat="1" applyFont="1" applyFill="1" applyBorder="1" applyAlignment="1">
      <alignment horizontal="center" vertical="center" wrapText="1"/>
    </xf>
    <xf numFmtId="9" fontId="70" fillId="39" borderId="7" xfId="0" applyNumberFormat="1" applyFont="1" applyFill="1" applyBorder="1" applyAlignment="1">
      <alignment horizontal="center" vertical="center" wrapText="1"/>
    </xf>
    <xf numFmtId="49" fontId="22" fillId="39" borderId="7" xfId="0" applyNumberFormat="1" applyFont="1" applyFill="1" applyBorder="1" applyAlignment="1">
      <alignment horizontal="center" vertical="center" wrapText="1"/>
    </xf>
    <xf numFmtId="0" fontId="22" fillId="39" borderId="7" xfId="0" applyNumberFormat="1" applyFont="1" applyFill="1" applyBorder="1" applyAlignment="1">
      <alignment horizontal="center" vertical="center" wrapText="1"/>
    </xf>
    <xf numFmtId="2" fontId="22" fillId="39" borderId="7" xfId="0" applyNumberFormat="1" applyFont="1" applyFill="1" applyBorder="1" applyAlignment="1">
      <alignment horizontal="right" vertical="center" wrapText="1"/>
    </xf>
    <xf numFmtId="2" fontId="12" fillId="39" borderId="1" xfId="0" applyNumberFormat="1" applyFont="1" applyFill="1" applyBorder="1" applyAlignment="1">
      <alignment horizontal="right" vertical="center" wrapText="1"/>
    </xf>
    <xf numFmtId="2" fontId="22" fillId="39" borderId="6" xfId="0" applyNumberFormat="1" applyFont="1" applyFill="1" applyBorder="1" applyAlignment="1">
      <alignment horizontal="right" vertical="center" wrapText="1"/>
    </xf>
    <xf numFmtId="0" fontId="66" fillId="39" borderId="1" xfId="0" applyNumberFormat="1" applyFont="1" applyFill="1" applyBorder="1" applyAlignment="1">
      <alignment horizontal="center" vertical="center" wrapText="1"/>
    </xf>
    <xf numFmtId="0" fontId="7" fillId="39" borderId="1" xfId="0" applyNumberFormat="1" applyFont="1" applyFill="1" applyBorder="1" applyAlignment="1">
      <alignment horizontal="center" vertical="center" wrapText="1"/>
    </xf>
    <xf numFmtId="49" fontId="14" fillId="39" borderId="6" xfId="0" applyNumberFormat="1" applyFont="1" applyFill="1" applyBorder="1" applyAlignment="1">
      <alignment horizontal="center" vertical="center" wrapText="1"/>
    </xf>
    <xf numFmtId="49" fontId="22" fillId="39" borderId="1" xfId="1" applyNumberFormat="1" applyFont="1" applyFill="1" applyBorder="1" applyAlignment="1">
      <alignment horizontal="center" vertical="center" wrapText="1"/>
    </xf>
    <xf numFmtId="0" fontId="16" fillId="39" borderId="1" xfId="0" applyNumberFormat="1" applyFont="1" applyFill="1" applyBorder="1" applyAlignment="1">
      <alignment horizontal="center" vertical="center" wrapText="1"/>
    </xf>
    <xf numFmtId="2" fontId="14" fillId="39" borderId="1" xfId="0" applyNumberFormat="1" applyFont="1" applyFill="1" applyBorder="1" applyAlignment="1">
      <alignment horizontal="right" vertical="center" wrapText="1"/>
    </xf>
    <xf numFmtId="49" fontId="6" fillId="39" borderId="1" xfId="0" applyNumberFormat="1" applyFont="1" applyFill="1" applyBorder="1" applyAlignment="1">
      <alignment horizontal="center" vertical="center" wrapText="1"/>
    </xf>
    <xf numFmtId="0" fontId="16" fillId="39" borderId="6" xfId="0" applyNumberFormat="1" applyFont="1" applyFill="1" applyBorder="1" applyAlignment="1">
      <alignment horizontal="center" vertical="center" wrapText="1"/>
    </xf>
    <xf numFmtId="2" fontId="13" fillId="39" borderId="6" xfId="0" applyNumberFormat="1" applyFont="1" applyFill="1" applyBorder="1" applyAlignment="1">
      <alignment horizontal="right" vertical="center" wrapText="1"/>
    </xf>
    <xf numFmtId="49" fontId="69" fillId="39" borderId="1" xfId="0" applyNumberFormat="1" applyFont="1" applyFill="1" applyBorder="1" applyAlignment="1">
      <alignment horizontal="center" vertical="center" wrapText="1"/>
    </xf>
    <xf numFmtId="0" fontId="69" fillId="39" borderId="6" xfId="0" applyNumberFormat="1" applyFont="1" applyFill="1" applyBorder="1" applyAlignment="1">
      <alignment horizontal="center" vertical="center" wrapText="1"/>
    </xf>
    <xf numFmtId="2" fontId="72" fillId="39" borderId="6" xfId="0" applyNumberFormat="1" applyFont="1" applyFill="1" applyBorder="1" applyAlignment="1">
      <alignment horizontal="right" vertical="center" wrapText="1"/>
    </xf>
    <xf numFmtId="49" fontId="69" fillId="39" borderId="3" xfId="0" applyNumberFormat="1" applyFont="1" applyFill="1" applyBorder="1" applyAlignment="1">
      <alignment horizontal="center" vertical="center" wrapText="1"/>
    </xf>
    <xf numFmtId="0" fontId="69" fillId="39" borderId="7" xfId="0" applyNumberFormat="1" applyFont="1" applyFill="1" applyBorder="1" applyAlignment="1">
      <alignment horizontal="center" vertical="center" wrapText="1"/>
    </xf>
    <xf numFmtId="2" fontId="72" fillId="39" borderId="7" xfId="0" applyNumberFormat="1" applyFont="1" applyFill="1" applyBorder="1" applyAlignment="1">
      <alignment horizontal="right" vertical="center" wrapText="1"/>
    </xf>
    <xf numFmtId="2" fontId="70" fillId="40" borderId="7" xfId="0" applyNumberFormat="1" applyFont="1" applyFill="1" applyBorder="1" applyAlignment="1">
      <alignment horizontal="right" vertical="center" wrapText="1"/>
    </xf>
    <xf numFmtId="0" fontId="70" fillId="40" borderId="7" xfId="0" applyNumberFormat="1" applyFont="1" applyFill="1" applyBorder="1" applyAlignment="1">
      <alignment horizontal="center" vertical="center" wrapText="1"/>
    </xf>
    <xf numFmtId="49" fontId="6" fillId="39" borderId="6" xfId="0" applyNumberFormat="1" applyFont="1" applyFill="1" applyBorder="1" applyAlignment="1">
      <alignment horizontal="center" vertical="center" wrapText="1"/>
    </xf>
    <xf numFmtId="2" fontId="14" fillId="39" borderId="6" xfId="0" applyNumberFormat="1" applyFont="1" applyFill="1" applyBorder="1" applyAlignment="1">
      <alignment horizontal="right" vertical="center" wrapText="1"/>
    </xf>
    <xf numFmtId="0" fontId="13" fillId="39" borderId="1" xfId="0" applyNumberFormat="1" applyFont="1" applyFill="1" applyBorder="1" applyAlignment="1">
      <alignment horizontal="center" vertical="center" wrapText="1"/>
    </xf>
    <xf numFmtId="0" fontId="4" fillId="39" borderId="1" xfId="0" applyNumberFormat="1" applyFont="1" applyFill="1" applyBorder="1" applyAlignment="1">
      <alignment horizontal="center" vertical="center" wrapText="1"/>
    </xf>
    <xf numFmtId="0" fontId="6" fillId="39" borderId="1" xfId="0" applyNumberFormat="1" applyFont="1" applyFill="1" applyBorder="1" applyAlignment="1">
      <alignment horizontal="center" vertical="center" wrapText="1"/>
    </xf>
    <xf numFmtId="2" fontId="13" fillId="39" borderId="1" xfId="0" applyNumberFormat="1" applyFont="1" applyFill="1" applyBorder="1" applyAlignment="1">
      <alignment horizontal="center" vertical="center" wrapText="1"/>
    </xf>
    <xf numFmtId="2" fontId="13" fillId="39" borderId="1" xfId="0" applyNumberFormat="1" applyFont="1" applyFill="1" applyBorder="1" applyAlignment="1">
      <alignment horizontal="right" vertical="center" wrapText="1"/>
    </xf>
    <xf numFmtId="49" fontId="73" fillId="39" borderId="0" xfId="0" applyNumberFormat="1" applyFont="1" applyFill="1" applyAlignment="1">
      <alignment horizontal="center" vertical="center" wrapText="1"/>
    </xf>
    <xf numFmtId="49" fontId="15" fillId="39" borderId="0" xfId="0" applyNumberFormat="1" applyFont="1" applyFill="1" applyAlignment="1">
      <alignment horizontal="center" vertical="center" wrapText="1"/>
    </xf>
    <xf numFmtId="0" fontId="15" fillId="39" borderId="0" xfId="0" applyNumberFormat="1" applyFont="1" applyFill="1" applyAlignment="1">
      <alignment horizontal="center" vertical="center" wrapText="1"/>
    </xf>
    <xf numFmtId="2" fontId="15" fillId="39" borderId="0" xfId="0" applyNumberFormat="1" applyFont="1" applyFill="1" applyAlignment="1">
      <alignment horizontal="center" vertical="center" wrapText="1"/>
    </xf>
    <xf numFmtId="2" fontId="15" fillId="39" borderId="0" xfId="0" applyNumberFormat="1" applyFont="1" applyFill="1" applyAlignment="1">
      <alignment horizontal="right" vertical="center" wrapText="1"/>
    </xf>
    <xf numFmtId="49" fontId="7" fillId="39" borderId="0" xfId="0" applyNumberFormat="1" applyFont="1" applyFill="1" applyAlignment="1">
      <alignment horizontal="center" vertical="top" wrapText="1"/>
    </xf>
    <xf numFmtId="49" fontId="12" fillId="39" borderId="0" xfId="0" applyNumberFormat="1" applyFont="1" applyFill="1" applyAlignment="1">
      <alignment horizontal="center" vertical="center" wrapText="1"/>
    </xf>
    <xf numFmtId="49" fontId="7" fillId="39" borderId="0" xfId="0" applyNumberFormat="1" applyFont="1" applyFill="1" applyAlignment="1">
      <alignment horizontal="center" vertical="center" wrapText="1"/>
    </xf>
    <xf numFmtId="0" fontId="7" fillId="39" borderId="0" xfId="0" applyNumberFormat="1" applyFont="1" applyFill="1" applyAlignment="1">
      <alignment horizontal="center" vertical="center" wrapText="1"/>
    </xf>
    <xf numFmtId="2" fontId="12" fillId="39" borderId="0" xfId="0" applyNumberFormat="1" applyFont="1" applyFill="1" applyAlignment="1">
      <alignment horizontal="center" vertical="center" wrapText="1"/>
    </xf>
    <xf numFmtId="2" fontId="12" fillId="39" borderId="0" xfId="0" applyNumberFormat="1" applyFont="1" applyFill="1" applyAlignment="1">
      <alignment horizontal="right" vertical="center" wrapText="1"/>
    </xf>
    <xf numFmtId="49" fontId="6" fillId="39" borderId="1" xfId="0" applyNumberFormat="1" applyFont="1" applyFill="1" applyBorder="1" applyAlignment="1">
      <alignment horizontal="center" vertical="top" wrapText="1"/>
    </xf>
    <xf numFmtId="49" fontId="69" fillId="39" borderId="3" xfId="0" applyNumberFormat="1" applyFont="1" applyFill="1" applyBorder="1" applyAlignment="1">
      <alignment horizontal="center" vertical="top" wrapText="1"/>
    </xf>
    <xf numFmtId="49" fontId="7" fillId="39" borderId="0" xfId="0" applyNumberFormat="1" applyFont="1" applyFill="1" applyBorder="1" applyAlignment="1">
      <alignment horizontal="center" vertical="top" wrapText="1"/>
    </xf>
    <xf numFmtId="49" fontId="22" fillId="39" borderId="0" xfId="0" applyNumberFormat="1" applyFont="1" applyFill="1" applyBorder="1" applyAlignment="1">
      <alignment horizontal="center" vertical="center" wrapText="1"/>
    </xf>
    <xf numFmtId="49" fontId="7" fillId="39" borderId="0" xfId="0" applyNumberFormat="1" applyFont="1" applyFill="1" applyBorder="1" applyAlignment="1">
      <alignment horizontal="center" vertical="center" wrapText="1"/>
    </xf>
    <xf numFmtId="0" fontId="7" fillId="39" borderId="0" xfId="0" applyNumberFormat="1" applyFont="1" applyFill="1" applyBorder="1" applyAlignment="1">
      <alignment horizontal="center" vertical="center" wrapText="1"/>
    </xf>
    <xf numFmtId="0" fontId="12" fillId="39" borderId="0" xfId="0" applyNumberFormat="1" applyFont="1" applyFill="1" applyBorder="1" applyAlignment="1">
      <alignment horizontal="center" vertical="center" wrapText="1"/>
    </xf>
    <xf numFmtId="2" fontId="12" fillId="39" borderId="0" xfId="0" applyNumberFormat="1" applyFont="1" applyFill="1" applyBorder="1" applyAlignment="1">
      <alignment horizontal="center" vertical="center" wrapText="1"/>
    </xf>
    <xf numFmtId="2" fontId="22" fillId="39" borderId="0" xfId="0" applyNumberFormat="1" applyFont="1" applyFill="1" applyBorder="1" applyAlignment="1">
      <alignment horizontal="right" vertical="center" wrapText="1"/>
    </xf>
    <xf numFmtId="0" fontId="116" fillId="0" borderId="28" xfId="0" applyFont="1" applyBorder="1" applyAlignment="1">
      <alignment horizontal="center" vertical="center" wrapText="1"/>
    </xf>
    <xf numFmtId="0" fontId="116" fillId="0" borderId="0" xfId="0" applyFont="1" applyAlignment="1">
      <alignment horizontal="center" vertical="center" wrapText="1"/>
    </xf>
    <xf numFmtId="0" fontId="116" fillId="0" borderId="37" xfId="0" applyFont="1" applyBorder="1" applyAlignment="1">
      <alignment horizontal="center" vertical="center" wrapText="1"/>
    </xf>
  </cellXfs>
  <cellStyles count="916">
    <cellStyle name="20% - Accent1" xfId="6"/>
    <cellStyle name="20% - Accent1 2" xfId="7"/>
    <cellStyle name="20% - Accent1 2 2" xfId="8"/>
    <cellStyle name="20% - Accent1 2 2 2" xfId="9"/>
    <cellStyle name="20% - Accent1 2 3" xfId="10"/>
    <cellStyle name="20% - Accent1 2 3 2" xfId="11"/>
    <cellStyle name="20% - Accent1 2 4" xfId="12"/>
    <cellStyle name="20% - Accent1 2 4 2" xfId="13"/>
    <cellStyle name="20% - Accent1 2 5" xfId="14"/>
    <cellStyle name="20% - Accent1 2 5 2" xfId="15"/>
    <cellStyle name="20% - Accent1 2 6" xfId="16"/>
    <cellStyle name="20% - Accent1 3" xfId="17"/>
    <cellStyle name="20% - Accent1 3 2" xfId="18"/>
    <cellStyle name="20% - Accent1 4" xfId="19"/>
    <cellStyle name="20% - Accent1 4 2" xfId="20"/>
    <cellStyle name="20% - Accent1 4 2 2" xfId="21"/>
    <cellStyle name="20% - Accent1 4 3" xfId="22"/>
    <cellStyle name="20% - Accent1 5" xfId="23"/>
    <cellStyle name="20% - Accent1 5 2" xfId="24"/>
    <cellStyle name="20% - Accent1 6" xfId="25"/>
    <cellStyle name="20% - Accent1 6 2" xfId="26"/>
    <cellStyle name="20% - Accent1 7" xfId="27"/>
    <cellStyle name="20% - Accent1 7 2" xfId="28"/>
    <cellStyle name="20% - Accent1_Q.W. ADMINISTRACIULI SENOBA" xfId="29"/>
    <cellStyle name="20% - Accent2" xfId="30"/>
    <cellStyle name="20% - Accent2 2" xfId="31"/>
    <cellStyle name="20% - Accent2 2 2" xfId="32"/>
    <cellStyle name="20% - Accent2 2 2 2" xfId="33"/>
    <cellStyle name="20% - Accent2 2 3" xfId="34"/>
    <cellStyle name="20% - Accent2 2 3 2" xfId="35"/>
    <cellStyle name="20% - Accent2 2 4" xfId="36"/>
    <cellStyle name="20% - Accent2 2 4 2" xfId="37"/>
    <cellStyle name="20% - Accent2 2 5" xfId="38"/>
    <cellStyle name="20% - Accent2 2 5 2" xfId="39"/>
    <cellStyle name="20% - Accent2 2 6" xfId="40"/>
    <cellStyle name="20% - Accent2 3" xfId="41"/>
    <cellStyle name="20% - Accent2 3 2" xfId="42"/>
    <cellStyle name="20% - Accent2 4" xfId="43"/>
    <cellStyle name="20% - Accent2 4 2" xfId="44"/>
    <cellStyle name="20% - Accent2 4 2 2" xfId="45"/>
    <cellStyle name="20% - Accent2 4 3" xfId="46"/>
    <cellStyle name="20% - Accent2 5" xfId="47"/>
    <cellStyle name="20% - Accent2 5 2" xfId="48"/>
    <cellStyle name="20% - Accent2 6" xfId="49"/>
    <cellStyle name="20% - Accent2 6 2" xfId="50"/>
    <cellStyle name="20% - Accent2 7" xfId="51"/>
    <cellStyle name="20% - Accent2 7 2" xfId="52"/>
    <cellStyle name="20% - Accent2_Q.W. ADMINISTRACIULI SENOBA" xfId="53"/>
    <cellStyle name="20% - Accent3" xfId="54"/>
    <cellStyle name="20% - Accent3 2" xfId="55"/>
    <cellStyle name="20% - Accent3 2 2" xfId="56"/>
    <cellStyle name="20% - Accent3 2 2 2" xfId="57"/>
    <cellStyle name="20% - Accent3 2 3" xfId="58"/>
    <cellStyle name="20% - Accent3 2 3 2" xfId="59"/>
    <cellStyle name="20% - Accent3 2 4" xfId="60"/>
    <cellStyle name="20% - Accent3 2 4 2" xfId="61"/>
    <cellStyle name="20% - Accent3 2 5" xfId="62"/>
    <cellStyle name="20% - Accent3 2 5 2" xfId="63"/>
    <cellStyle name="20% - Accent3 2 6" xfId="64"/>
    <cellStyle name="20% - Accent3 3" xfId="65"/>
    <cellStyle name="20% - Accent3 3 2" xfId="66"/>
    <cellStyle name="20% - Accent3 4" xfId="67"/>
    <cellStyle name="20% - Accent3 4 2" xfId="68"/>
    <cellStyle name="20% - Accent3 4 2 2" xfId="69"/>
    <cellStyle name="20% - Accent3 4 3" xfId="70"/>
    <cellStyle name="20% - Accent3 5" xfId="71"/>
    <cellStyle name="20% - Accent3 5 2" xfId="72"/>
    <cellStyle name="20% - Accent3 6" xfId="73"/>
    <cellStyle name="20% - Accent3 6 2" xfId="74"/>
    <cellStyle name="20% - Accent3 7" xfId="75"/>
    <cellStyle name="20% - Accent3 7 2" xfId="76"/>
    <cellStyle name="20% - Accent3_Q.W. ADMINISTRACIULI SENOBA" xfId="77"/>
    <cellStyle name="20% - Accent4" xfId="78"/>
    <cellStyle name="20% - Accent4 2" xfId="79"/>
    <cellStyle name="20% - Accent4 2 2" xfId="80"/>
    <cellStyle name="20% - Accent4 2 2 2" xfId="81"/>
    <cellStyle name="20% - Accent4 2 3" xfId="82"/>
    <cellStyle name="20% - Accent4 2 3 2" xfId="83"/>
    <cellStyle name="20% - Accent4 2 4" xfId="84"/>
    <cellStyle name="20% - Accent4 2 4 2" xfId="85"/>
    <cellStyle name="20% - Accent4 2 5" xfId="86"/>
    <cellStyle name="20% - Accent4 2 5 2" xfId="87"/>
    <cellStyle name="20% - Accent4 2 6" xfId="88"/>
    <cellStyle name="20% - Accent4 3" xfId="89"/>
    <cellStyle name="20% - Accent4 3 2" xfId="90"/>
    <cellStyle name="20% - Accent4 4" xfId="91"/>
    <cellStyle name="20% - Accent4 4 2" xfId="92"/>
    <cellStyle name="20% - Accent4 4 2 2" xfId="93"/>
    <cellStyle name="20% - Accent4 4 3" xfId="94"/>
    <cellStyle name="20% - Accent4 5" xfId="95"/>
    <cellStyle name="20% - Accent4 5 2" xfId="96"/>
    <cellStyle name="20% - Accent4 6" xfId="97"/>
    <cellStyle name="20% - Accent4 6 2" xfId="98"/>
    <cellStyle name="20% - Accent4 7" xfId="99"/>
    <cellStyle name="20% - Accent4 7 2" xfId="100"/>
    <cellStyle name="20% - Accent4_Q.W. ADMINISTRACIULI SENOBA" xfId="101"/>
    <cellStyle name="20% - Accent5" xfId="102"/>
    <cellStyle name="20% - Accent5 2" xfId="103"/>
    <cellStyle name="20% - Accent5 2 2" xfId="104"/>
    <cellStyle name="20% - Accent5 2 2 2" xfId="105"/>
    <cellStyle name="20% - Accent5 2 3" xfId="106"/>
    <cellStyle name="20% - Accent5 2 3 2" xfId="107"/>
    <cellStyle name="20% - Accent5 2 4" xfId="108"/>
    <cellStyle name="20% - Accent5 2 4 2" xfId="109"/>
    <cellStyle name="20% - Accent5 2 5" xfId="110"/>
    <cellStyle name="20% - Accent5 2 5 2" xfId="111"/>
    <cellStyle name="20% - Accent5 2 6" xfId="112"/>
    <cellStyle name="20% - Accent5 3" xfId="113"/>
    <cellStyle name="20% - Accent5 3 2" xfId="114"/>
    <cellStyle name="20% - Accent5 4" xfId="115"/>
    <cellStyle name="20% - Accent5 4 2" xfId="116"/>
    <cellStyle name="20% - Accent5 4 2 2" xfId="117"/>
    <cellStyle name="20% - Accent5 4 3" xfId="118"/>
    <cellStyle name="20% - Accent5 5" xfId="119"/>
    <cellStyle name="20% - Accent5 5 2" xfId="120"/>
    <cellStyle name="20% - Accent5 6" xfId="121"/>
    <cellStyle name="20% - Accent5 6 2" xfId="122"/>
    <cellStyle name="20% - Accent5 7" xfId="123"/>
    <cellStyle name="20% - Accent5 7 2" xfId="124"/>
    <cellStyle name="20% - Accent5_Q.W. ADMINISTRACIULI SENOBA" xfId="125"/>
    <cellStyle name="20% - Accent6" xfId="126"/>
    <cellStyle name="20% - Accent6 2" xfId="127"/>
    <cellStyle name="20% - Accent6 2 2" xfId="128"/>
    <cellStyle name="20% - Accent6 2 2 2" xfId="129"/>
    <cellStyle name="20% - Accent6 2 3" xfId="130"/>
    <cellStyle name="20% - Accent6 2 3 2" xfId="131"/>
    <cellStyle name="20% - Accent6 2 4" xfId="132"/>
    <cellStyle name="20% - Accent6 2 4 2" xfId="133"/>
    <cellStyle name="20% - Accent6 2 5" xfId="134"/>
    <cellStyle name="20% - Accent6 2 5 2" xfId="135"/>
    <cellStyle name="20% - Accent6 2 6" xfId="136"/>
    <cellStyle name="20% - Accent6 3" xfId="137"/>
    <cellStyle name="20% - Accent6 3 2" xfId="138"/>
    <cellStyle name="20% - Accent6 4" xfId="139"/>
    <cellStyle name="20% - Accent6 4 2" xfId="140"/>
    <cellStyle name="20% - Accent6 4 2 2" xfId="141"/>
    <cellStyle name="20% - Accent6 4 3" xfId="142"/>
    <cellStyle name="20% - Accent6 5" xfId="143"/>
    <cellStyle name="20% - Accent6 5 2" xfId="144"/>
    <cellStyle name="20% - Accent6 6" xfId="145"/>
    <cellStyle name="20% - Accent6 6 2" xfId="146"/>
    <cellStyle name="20% - Accent6 7" xfId="147"/>
    <cellStyle name="20% - Accent6 7 2" xfId="148"/>
    <cellStyle name="20% - Accent6_Q.W. ADMINISTRACIULI SENOBA" xfId="149"/>
    <cellStyle name="40% - Accent1" xfId="150"/>
    <cellStyle name="40% - Accent1 2" xfId="151"/>
    <cellStyle name="40% - Accent1 2 2" xfId="152"/>
    <cellStyle name="40% - Accent1 2 2 2" xfId="153"/>
    <cellStyle name="40% - Accent1 2 3" xfId="154"/>
    <cellStyle name="40% - Accent1 2 3 2" xfId="155"/>
    <cellStyle name="40% - Accent1 2 4" xfId="156"/>
    <cellStyle name="40% - Accent1 2 4 2" xfId="157"/>
    <cellStyle name="40% - Accent1 2 5" xfId="158"/>
    <cellStyle name="40% - Accent1 2 5 2" xfId="159"/>
    <cellStyle name="40% - Accent1 2 6" xfId="160"/>
    <cellStyle name="40% - Accent1 3" xfId="161"/>
    <cellStyle name="40% - Accent1 3 2" xfId="162"/>
    <cellStyle name="40% - Accent1 4" xfId="163"/>
    <cellStyle name="40% - Accent1 4 2" xfId="164"/>
    <cellStyle name="40% - Accent1 4 2 2" xfId="165"/>
    <cellStyle name="40% - Accent1 4 3" xfId="166"/>
    <cellStyle name="40% - Accent1 5" xfId="167"/>
    <cellStyle name="40% - Accent1 5 2" xfId="168"/>
    <cellStyle name="40% - Accent1 6" xfId="169"/>
    <cellStyle name="40% - Accent1 6 2" xfId="170"/>
    <cellStyle name="40% - Accent1 7" xfId="171"/>
    <cellStyle name="40% - Accent1 7 2" xfId="172"/>
    <cellStyle name="40% - Accent1_Q.W. ADMINISTRACIULI SENOBA" xfId="173"/>
    <cellStyle name="40% - Accent2" xfId="174"/>
    <cellStyle name="40% - Accent2 2" xfId="175"/>
    <cellStyle name="40% - Accent2 2 2" xfId="176"/>
    <cellStyle name="40% - Accent2 2 2 2" xfId="177"/>
    <cellStyle name="40% - Accent2 2 3" xfId="178"/>
    <cellStyle name="40% - Accent2 2 3 2" xfId="179"/>
    <cellStyle name="40% - Accent2 2 4" xfId="180"/>
    <cellStyle name="40% - Accent2 2 4 2" xfId="181"/>
    <cellStyle name="40% - Accent2 2 5" xfId="182"/>
    <cellStyle name="40% - Accent2 2 5 2" xfId="183"/>
    <cellStyle name="40% - Accent2 2 6" xfId="184"/>
    <cellStyle name="40% - Accent2 3" xfId="185"/>
    <cellStyle name="40% - Accent2 3 2" xfId="186"/>
    <cellStyle name="40% - Accent2 4" xfId="187"/>
    <cellStyle name="40% - Accent2 4 2" xfId="188"/>
    <cellStyle name="40% - Accent2 4 2 2" xfId="189"/>
    <cellStyle name="40% - Accent2 4 3" xfId="190"/>
    <cellStyle name="40% - Accent2 5" xfId="191"/>
    <cellStyle name="40% - Accent2 5 2" xfId="192"/>
    <cellStyle name="40% - Accent2 6" xfId="193"/>
    <cellStyle name="40% - Accent2 6 2" xfId="194"/>
    <cellStyle name="40% - Accent2 7" xfId="195"/>
    <cellStyle name="40% - Accent2 7 2" xfId="196"/>
    <cellStyle name="40% - Accent2_Q.W. ADMINISTRACIULI SENOBA" xfId="197"/>
    <cellStyle name="40% - Accent3" xfId="198"/>
    <cellStyle name="40% - Accent3 2" xfId="199"/>
    <cellStyle name="40% - Accent3 2 2" xfId="200"/>
    <cellStyle name="40% - Accent3 2 2 2" xfId="201"/>
    <cellStyle name="40% - Accent3 2 3" xfId="202"/>
    <cellStyle name="40% - Accent3 2 3 2" xfId="203"/>
    <cellStyle name="40% - Accent3 2 4" xfId="204"/>
    <cellStyle name="40% - Accent3 2 4 2" xfId="205"/>
    <cellStyle name="40% - Accent3 2 5" xfId="206"/>
    <cellStyle name="40% - Accent3 2 5 2" xfId="207"/>
    <cellStyle name="40% - Accent3 2 6" xfId="208"/>
    <cellStyle name="40% - Accent3 3" xfId="209"/>
    <cellStyle name="40% - Accent3 3 2" xfId="210"/>
    <cellStyle name="40% - Accent3 4" xfId="211"/>
    <cellStyle name="40% - Accent3 4 2" xfId="212"/>
    <cellStyle name="40% - Accent3 4 2 2" xfId="213"/>
    <cellStyle name="40% - Accent3 4 3" xfId="214"/>
    <cellStyle name="40% - Accent3 5" xfId="215"/>
    <cellStyle name="40% - Accent3 5 2" xfId="216"/>
    <cellStyle name="40% - Accent3 6" xfId="217"/>
    <cellStyle name="40% - Accent3 6 2" xfId="218"/>
    <cellStyle name="40% - Accent3 7" xfId="219"/>
    <cellStyle name="40% - Accent3 7 2" xfId="220"/>
    <cellStyle name="40% - Accent3_Q.W. ADMINISTRACIULI SENOBA" xfId="221"/>
    <cellStyle name="40% - Accent4" xfId="222"/>
    <cellStyle name="40% - Accent4 2" xfId="223"/>
    <cellStyle name="40% - Accent4 2 2" xfId="224"/>
    <cellStyle name="40% - Accent4 2 2 2" xfId="225"/>
    <cellStyle name="40% - Accent4 2 3" xfId="226"/>
    <cellStyle name="40% - Accent4 2 3 2" xfId="227"/>
    <cellStyle name="40% - Accent4 2 4" xfId="228"/>
    <cellStyle name="40% - Accent4 2 4 2" xfId="229"/>
    <cellStyle name="40% - Accent4 2 5" xfId="230"/>
    <cellStyle name="40% - Accent4 2 5 2" xfId="231"/>
    <cellStyle name="40% - Accent4 2 6" xfId="232"/>
    <cellStyle name="40% - Accent4 3" xfId="233"/>
    <cellStyle name="40% - Accent4 3 2" xfId="234"/>
    <cellStyle name="40% - Accent4 4" xfId="235"/>
    <cellStyle name="40% - Accent4 4 2" xfId="236"/>
    <cellStyle name="40% - Accent4 4 2 2" xfId="237"/>
    <cellStyle name="40% - Accent4 4 3" xfId="238"/>
    <cellStyle name="40% - Accent4 5" xfId="239"/>
    <cellStyle name="40% - Accent4 5 2" xfId="240"/>
    <cellStyle name="40% - Accent4 6" xfId="241"/>
    <cellStyle name="40% - Accent4 6 2" xfId="242"/>
    <cellStyle name="40% - Accent4 7" xfId="243"/>
    <cellStyle name="40% - Accent4 7 2" xfId="244"/>
    <cellStyle name="40% - Accent4_Q.W. ADMINISTRACIULI SENOBA" xfId="245"/>
    <cellStyle name="40% - Accent5" xfId="246"/>
    <cellStyle name="40% - Accent5 2" xfId="247"/>
    <cellStyle name="40% - Accent5 2 2" xfId="248"/>
    <cellStyle name="40% - Accent5 2 2 2" xfId="249"/>
    <cellStyle name="40% - Accent5 2 3" xfId="250"/>
    <cellStyle name="40% - Accent5 2 3 2" xfId="251"/>
    <cellStyle name="40% - Accent5 2 4" xfId="252"/>
    <cellStyle name="40% - Accent5 2 4 2" xfId="253"/>
    <cellStyle name="40% - Accent5 2 5" xfId="254"/>
    <cellStyle name="40% - Accent5 2 5 2" xfId="255"/>
    <cellStyle name="40% - Accent5 2 6" xfId="256"/>
    <cellStyle name="40% - Accent5 3" xfId="257"/>
    <cellStyle name="40% - Accent5 3 2" xfId="258"/>
    <cellStyle name="40% - Accent5 4" xfId="259"/>
    <cellStyle name="40% - Accent5 4 2" xfId="260"/>
    <cellStyle name="40% - Accent5 4 2 2" xfId="261"/>
    <cellStyle name="40% - Accent5 4 3" xfId="262"/>
    <cellStyle name="40% - Accent5 5" xfId="263"/>
    <cellStyle name="40% - Accent5 5 2" xfId="264"/>
    <cellStyle name="40% - Accent5 6" xfId="265"/>
    <cellStyle name="40% - Accent5 6 2" xfId="266"/>
    <cellStyle name="40% - Accent5 7" xfId="267"/>
    <cellStyle name="40% - Accent5 7 2" xfId="268"/>
    <cellStyle name="40% - Accent5_Q.W. ADMINISTRACIULI SENOBA" xfId="269"/>
    <cellStyle name="40% - Accent6" xfId="270"/>
    <cellStyle name="40% - Accent6 2" xfId="271"/>
    <cellStyle name="40% - Accent6 2 2" xfId="272"/>
    <cellStyle name="40% - Accent6 2 2 2" xfId="273"/>
    <cellStyle name="40% - Accent6 2 3" xfId="274"/>
    <cellStyle name="40% - Accent6 2 3 2" xfId="275"/>
    <cellStyle name="40% - Accent6 2 4" xfId="276"/>
    <cellStyle name="40% - Accent6 2 4 2" xfId="277"/>
    <cellStyle name="40% - Accent6 2 5" xfId="278"/>
    <cellStyle name="40% - Accent6 2 5 2" xfId="279"/>
    <cellStyle name="40% - Accent6 2 6" xfId="280"/>
    <cellStyle name="40% - Accent6 3" xfId="281"/>
    <cellStyle name="40% - Accent6 3 2" xfId="282"/>
    <cellStyle name="40% - Accent6 4" xfId="283"/>
    <cellStyle name="40% - Accent6 4 2" xfId="284"/>
    <cellStyle name="40% - Accent6 4 2 2" xfId="285"/>
    <cellStyle name="40% - Accent6 4 3" xfId="286"/>
    <cellStyle name="40% - Accent6 5" xfId="287"/>
    <cellStyle name="40% - Accent6 5 2" xfId="288"/>
    <cellStyle name="40% - Accent6 6" xfId="289"/>
    <cellStyle name="40% - Accent6 6 2" xfId="290"/>
    <cellStyle name="40% - Accent6 7" xfId="291"/>
    <cellStyle name="40% - Accent6 7 2" xfId="292"/>
    <cellStyle name="40% - Accent6_Q.W. ADMINISTRACIULI SENOBA" xfId="293"/>
    <cellStyle name="60% - Accent1" xfId="294"/>
    <cellStyle name="60% - Accent1 2" xfId="295"/>
    <cellStyle name="60% - Accent1 2 2" xfId="296"/>
    <cellStyle name="60% - Accent1 2 3" xfId="297"/>
    <cellStyle name="60% - Accent1 2 4" xfId="298"/>
    <cellStyle name="60% - Accent1 2 5" xfId="299"/>
    <cellStyle name="60% - Accent1 3" xfId="300"/>
    <cellStyle name="60% - Accent1 4" xfId="301"/>
    <cellStyle name="60% - Accent1 4 2" xfId="302"/>
    <cellStyle name="60% - Accent1 5" xfId="303"/>
    <cellStyle name="60% - Accent1 6" xfId="304"/>
    <cellStyle name="60% - Accent1 7" xfId="305"/>
    <cellStyle name="60% - Accent2" xfId="306"/>
    <cellStyle name="60% - Accent2 2" xfId="307"/>
    <cellStyle name="60% - Accent2 2 2" xfId="308"/>
    <cellStyle name="60% - Accent2 2 3" xfId="309"/>
    <cellStyle name="60% - Accent2 2 4" xfId="310"/>
    <cellStyle name="60% - Accent2 2 5" xfId="311"/>
    <cellStyle name="60% - Accent2 3" xfId="312"/>
    <cellStyle name="60% - Accent2 4" xfId="313"/>
    <cellStyle name="60% - Accent2 4 2" xfId="314"/>
    <cellStyle name="60% - Accent2 5" xfId="315"/>
    <cellStyle name="60% - Accent2 6" xfId="316"/>
    <cellStyle name="60% - Accent2 7" xfId="317"/>
    <cellStyle name="60% - Accent3" xfId="318"/>
    <cellStyle name="60% - Accent3 2" xfId="319"/>
    <cellStyle name="60% - Accent3 2 2" xfId="320"/>
    <cellStyle name="60% - Accent3 2 3" xfId="321"/>
    <cellStyle name="60% - Accent3 2 4" xfId="322"/>
    <cellStyle name="60% - Accent3 2 5" xfId="323"/>
    <cellStyle name="60% - Accent3 3" xfId="324"/>
    <cellStyle name="60% - Accent3 4" xfId="325"/>
    <cellStyle name="60% - Accent3 4 2" xfId="326"/>
    <cellStyle name="60% - Accent3 5" xfId="327"/>
    <cellStyle name="60% - Accent3 6" xfId="328"/>
    <cellStyle name="60% - Accent3 7" xfId="329"/>
    <cellStyle name="60% - Accent4" xfId="330"/>
    <cellStyle name="60% - Accent4 2" xfId="331"/>
    <cellStyle name="60% - Accent4 2 2" xfId="332"/>
    <cellStyle name="60% - Accent4 2 3" xfId="333"/>
    <cellStyle name="60% - Accent4 2 4" xfId="334"/>
    <cellStyle name="60% - Accent4 2 5" xfId="335"/>
    <cellStyle name="60% - Accent4 3" xfId="336"/>
    <cellStyle name="60% - Accent4 4" xfId="337"/>
    <cellStyle name="60% - Accent4 4 2" xfId="338"/>
    <cellStyle name="60% - Accent4 5" xfId="339"/>
    <cellStyle name="60% - Accent4 6" xfId="340"/>
    <cellStyle name="60% - Accent4 7" xfId="341"/>
    <cellStyle name="60% - Accent5" xfId="342"/>
    <cellStyle name="60% - Accent5 2" xfId="343"/>
    <cellStyle name="60% - Accent5 2 2" xfId="344"/>
    <cellStyle name="60% - Accent5 2 3" xfId="345"/>
    <cellStyle name="60% - Accent5 2 4" xfId="346"/>
    <cellStyle name="60% - Accent5 2 5" xfId="347"/>
    <cellStyle name="60% - Accent5 3" xfId="348"/>
    <cellStyle name="60% - Accent5 4" xfId="349"/>
    <cellStyle name="60% - Accent5 4 2" xfId="350"/>
    <cellStyle name="60% - Accent5 5" xfId="351"/>
    <cellStyle name="60% - Accent5 6" xfId="352"/>
    <cellStyle name="60% - Accent5 7" xfId="353"/>
    <cellStyle name="60% - Accent6" xfId="354"/>
    <cellStyle name="60% - Accent6 2" xfId="355"/>
    <cellStyle name="60% - Accent6 2 2" xfId="356"/>
    <cellStyle name="60% - Accent6 2 3" xfId="357"/>
    <cellStyle name="60% - Accent6 2 4" xfId="358"/>
    <cellStyle name="60% - Accent6 2 5" xfId="359"/>
    <cellStyle name="60% - Accent6 3" xfId="360"/>
    <cellStyle name="60% - Accent6 4" xfId="361"/>
    <cellStyle name="60% - Accent6 4 2" xfId="362"/>
    <cellStyle name="60% - Accent6 5" xfId="363"/>
    <cellStyle name="60% - Accent6 6" xfId="364"/>
    <cellStyle name="60% - Accent6 7" xfId="365"/>
    <cellStyle name="Accent1" xfId="366"/>
    <cellStyle name="Accent1 2" xfId="367"/>
    <cellStyle name="Accent1 2 2" xfId="368"/>
    <cellStyle name="Accent1 2 3" xfId="369"/>
    <cellStyle name="Accent1 2 4" xfId="370"/>
    <cellStyle name="Accent1 2 5" xfId="371"/>
    <cellStyle name="Accent1 3" xfId="372"/>
    <cellStyle name="Accent1 4" xfId="373"/>
    <cellStyle name="Accent1 4 2" xfId="374"/>
    <cellStyle name="Accent1 5" xfId="375"/>
    <cellStyle name="Accent1 6" xfId="376"/>
    <cellStyle name="Accent1 7" xfId="377"/>
    <cellStyle name="Accent2" xfId="378"/>
    <cellStyle name="Accent2 2" xfId="379"/>
    <cellStyle name="Accent2 2 2" xfId="380"/>
    <cellStyle name="Accent2 2 3" xfId="381"/>
    <cellStyle name="Accent2 2 4" xfId="382"/>
    <cellStyle name="Accent2 2 5" xfId="383"/>
    <cellStyle name="Accent2 3" xfId="384"/>
    <cellStyle name="Accent2 4" xfId="385"/>
    <cellStyle name="Accent2 4 2" xfId="386"/>
    <cellStyle name="Accent2 5" xfId="387"/>
    <cellStyle name="Accent2 6" xfId="388"/>
    <cellStyle name="Accent2 7" xfId="389"/>
    <cellStyle name="Accent3" xfId="390"/>
    <cellStyle name="Accent3 2" xfId="391"/>
    <cellStyle name="Accent3 2 2" xfId="392"/>
    <cellStyle name="Accent3 2 3" xfId="393"/>
    <cellStyle name="Accent3 2 4" xfId="394"/>
    <cellStyle name="Accent3 2 5" xfId="395"/>
    <cellStyle name="Accent3 3" xfId="396"/>
    <cellStyle name="Accent3 4" xfId="397"/>
    <cellStyle name="Accent3 4 2" xfId="398"/>
    <cellStyle name="Accent3 5" xfId="399"/>
    <cellStyle name="Accent3 6" xfId="400"/>
    <cellStyle name="Accent3 7" xfId="401"/>
    <cellStyle name="Accent4" xfId="402"/>
    <cellStyle name="Accent4 2" xfId="403"/>
    <cellStyle name="Accent4 2 2" xfId="404"/>
    <cellStyle name="Accent4 2 3" xfId="405"/>
    <cellStyle name="Accent4 2 4" xfId="406"/>
    <cellStyle name="Accent4 2 5" xfId="407"/>
    <cellStyle name="Accent4 3" xfId="408"/>
    <cellStyle name="Accent4 4" xfId="409"/>
    <cellStyle name="Accent4 4 2" xfId="410"/>
    <cellStyle name="Accent4 5" xfId="411"/>
    <cellStyle name="Accent4 6" xfId="412"/>
    <cellStyle name="Accent4 7" xfId="413"/>
    <cellStyle name="Accent5" xfId="414"/>
    <cellStyle name="Accent5 2" xfId="415"/>
    <cellStyle name="Accent5 2 2" xfId="416"/>
    <cellStyle name="Accent5 2 3" xfId="417"/>
    <cellStyle name="Accent5 2 4" xfId="418"/>
    <cellStyle name="Accent5 2 5" xfId="419"/>
    <cellStyle name="Accent5 3" xfId="420"/>
    <cellStyle name="Accent5 4" xfId="421"/>
    <cellStyle name="Accent5 4 2" xfId="422"/>
    <cellStyle name="Accent5 5" xfId="423"/>
    <cellStyle name="Accent5 6" xfId="424"/>
    <cellStyle name="Accent5 7" xfId="425"/>
    <cellStyle name="Accent6" xfId="426"/>
    <cellStyle name="Accent6 2" xfId="427"/>
    <cellStyle name="Accent6 2 2" xfId="428"/>
    <cellStyle name="Accent6 2 3" xfId="429"/>
    <cellStyle name="Accent6 2 4" xfId="430"/>
    <cellStyle name="Accent6 2 5" xfId="431"/>
    <cellStyle name="Accent6 3" xfId="432"/>
    <cellStyle name="Accent6 4" xfId="433"/>
    <cellStyle name="Accent6 4 2" xfId="434"/>
    <cellStyle name="Accent6 5" xfId="435"/>
    <cellStyle name="Accent6 6" xfId="436"/>
    <cellStyle name="Accent6 7" xfId="437"/>
    <cellStyle name="Bad" xfId="438"/>
    <cellStyle name="Bad 2" xfId="439"/>
    <cellStyle name="Bad 2 2" xfId="440"/>
    <cellStyle name="Bad 2 3" xfId="441"/>
    <cellStyle name="Bad 2 4" xfId="442"/>
    <cellStyle name="Bad 2 5" xfId="443"/>
    <cellStyle name="Bad 3" xfId="444"/>
    <cellStyle name="Bad 4" xfId="445"/>
    <cellStyle name="Bad 4 2" xfId="446"/>
    <cellStyle name="Bad 5" xfId="447"/>
    <cellStyle name="Bad 6" xfId="448"/>
    <cellStyle name="Bad 7" xfId="449"/>
    <cellStyle name="Calculation" xfId="450"/>
    <cellStyle name="Calculation 2" xfId="451"/>
    <cellStyle name="Calculation 2 2" xfId="452"/>
    <cellStyle name="Calculation 2 3" xfId="453"/>
    <cellStyle name="Calculation 2 4" xfId="454"/>
    <cellStyle name="Calculation 2 5" xfId="455"/>
    <cellStyle name="Calculation 2_anakia II etapi.xls sm. defeqturi" xfId="456"/>
    <cellStyle name="Calculation 3" xfId="457"/>
    <cellStyle name="Calculation 4" xfId="458"/>
    <cellStyle name="Calculation 4 2" xfId="459"/>
    <cellStyle name="Calculation 4_anakia II etapi.xls sm. defeqturi" xfId="460"/>
    <cellStyle name="Calculation 5" xfId="461"/>
    <cellStyle name="Calculation 6" xfId="462"/>
    <cellStyle name="Calculation 7" xfId="463"/>
    <cellStyle name="Check Cell" xfId="464"/>
    <cellStyle name="Check Cell 2" xfId="465"/>
    <cellStyle name="Check Cell 2 2" xfId="466"/>
    <cellStyle name="Check Cell 2 3" xfId="467"/>
    <cellStyle name="Check Cell 2 4" xfId="468"/>
    <cellStyle name="Check Cell 2 5" xfId="469"/>
    <cellStyle name="Check Cell 2_anakia II etapi.xls sm. defeqturi" xfId="470"/>
    <cellStyle name="Check Cell 3" xfId="471"/>
    <cellStyle name="Check Cell 4" xfId="472"/>
    <cellStyle name="Check Cell 4 2" xfId="473"/>
    <cellStyle name="Check Cell 4_anakia II etapi.xls sm. defeqturi" xfId="474"/>
    <cellStyle name="Check Cell 5" xfId="475"/>
    <cellStyle name="Check Cell 6" xfId="476"/>
    <cellStyle name="Check Cell 7" xfId="477"/>
    <cellStyle name="Comma" xfId="1" builtinId="3"/>
    <cellStyle name="Comma 10" xfId="479"/>
    <cellStyle name="Comma 10 2" xfId="480"/>
    <cellStyle name="Comma 11" xfId="481"/>
    <cellStyle name="Comma 12" xfId="482"/>
    <cellStyle name="Comma 12 2" xfId="483"/>
    <cellStyle name="Comma 12 3" xfId="484"/>
    <cellStyle name="Comma 12 4" xfId="485"/>
    <cellStyle name="Comma 12 5" xfId="486"/>
    <cellStyle name="Comma 12 6" xfId="487"/>
    <cellStyle name="Comma 12 7" xfId="488"/>
    <cellStyle name="Comma 12 8" xfId="489"/>
    <cellStyle name="Comma 13" xfId="490"/>
    <cellStyle name="Comma 14" xfId="491"/>
    <cellStyle name="Comma 15" xfId="492"/>
    <cellStyle name="Comma 15 2" xfId="493"/>
    <cellStyle name="Comma 15 3" xfId="910"/>
    <cellStyle name="Comma 16" xfId="494"/>
    <cellStyle name="Comma 17" xfId="495"/>
    <cellStyle name="Comma 17 2" xfId="496"/>
    <cellStyle name="Comma 18" xfId="497"/>
    <cellStyle name="Comma 19" xfId="498"/>
    <cellStyle name="Comma 2" xfId="499"/>
    <cellStyle name="Comma 2 2" xfId="500"/>
    <cellStyle name="Comma 2 2 2" xfId="501"/>
    <cellStyle name="Comma 2 2 3" xfId="502"/>
    <cellStyle name="Comma 2 3" xfId="503"/>
    <cellStyle name="Comma 20" xfId="504"/>
    <cellStyle name="Comma 3" xfId="505"/>
    <cellStyle name="Comma 4" xfId="506"/>
    <cellStyle name="Comma 5" xfId="507"/>
    <cellStyle name="Comma 6" xfId="508"/>
    <cellStyle name="Comma 7" xfId="509"/>
    <cellStyle name="Comma 8" xfId="510"/>
    <cellStyle name="Comma 9" xfId="511"/>
    <cellStyle name="Explanatory Text" xfId="512"/>
    <cellStyle name="Explanatory Text 2" xfId="513"/>
    <cellStyle name="Explanatory Text 2 2" xfId="514"/>
    <cellStyle name="Explanatory Text 2 3" xfId="515"/>
    <cellStyle name="Explanatory Text 2 4" xfId="516"/>
    <cellStyle name="Explanatory Text 2 5" xfId="517"/>
    <cellStyle name="Explanatory Text 3" xfId="518"/>
    <cellStyle name="Explanatory Text 4" xfId="519"/>
    <cellStyle name="Explanatory Text 4 2" xfId="520"/>
    <cellStyle name="Explanatory Text 5" xfId="521"/>
    <cellStyle name="Explanatory Text 6" xfId="522"/>
    <cellStyle name="Explanatory Text 7" xfId="523"/>
    <cellStyle name="Good" xfId="524"/>
    <cellStyle name="Good 2" xfId="525"/>
    <cellStyle name="Good 2 2" xfId="526"/>
    <cellStyle name="Good 2 3" xfId="527"/>
    <cellStyle name="Good 2 4" xfId="528"/>
    <cellStyle name="Good 2 5" xfId="529"/>
    <cellStyle name="Good 3" xfId="530"/>
    <cellStyle name="Good 4" xfId="531"/>
    <cellStyle name="Good 4 2" xfId="532"/>
    <cellStyle name="Good 5" xfId="533"/>
    <cellStyle name="Good 6" xfId="534"/>
    <cellStyle name="Good 7" xfId="535"/>
    <cellStyle name="Heading 1" xfId="536"/>
    <cellStyle name="Heading 1 2" xfId="537"/>
    <cellStyle name="Heading 1 2 2" xfId="538"/>
    <cellStyle name="Heading 1 2 3" xfId="539"/>
    <cellStyle name="Heading 1 2 4" xfId="540"/>
    <cellStyle name="Heading 1 2 5" xfId="541"/>
    <cellStyle name="Heading 1 2_anakia II etapi.xls sm. defeqturi" xfId="542"/>
    <cellStyle name="Heading 1 3" xfId="543"/>
    <cellStyle name="Heading 1 4" xfId="544"/>
    <cellStyle name="Heading 1 4 2" xfId="545"/>
    <cellStyle name="Heading 1 4_anakia II etapi.xls sm. defeqturi" xfId="546"/>
    <cellStyle name="Heading 1 5" xfId="547"/>
    <cellStyle name="Heading 1 6" xfId="548"/>
    <cellStyle name="Heading 1 7" xfId="549"/>
    <cellStyle name="Heading 2" xfId="550"/>
    <cellStyle name="Heading 2 2" xfId="551"/>
    <cellStyle name="Heading 2 2 2" xfId="552"/>
    <cellStyle name="Heading 2 2 3" xfId="553"/>
    <cellStyle name="Heading 2 2 4" xfId="554"/>
    <cellStyle name="Heading 2 2 5" xfId="555"/>
    <cellStyle name="Heading 2 2_anakia II etapi.xls sm. defeqturi" xfId="556"/>
    <cellStyle name="Heading 2 3" xfId="557"/>
    <cellStyle name="Heading 2 4" xfId="558"/>
    <cellStyle name="Heading 2 4 2" xfId="559"/>
    <cellStyle name="Heading 2 4_anakia II etapi.xls sm. defeqturi" xfId="560"/>
    <cellStyle name="Heading 2 5" xfId="561"/>
    <cellStyle name="Heading 2 6" xfId="562"/>
    <cellStyle name="Heading 2 7" xfId="563"/>
    <cellStyle name="Heading 3" xfId="564"/>
    <cellStyle name="Heading 3 2" xfId="565"/>
    <cellStyle name="Heading 3 2 2" xfId="566"/>
    <cellStyle name="Heading 3 2 3" xfId="567"/>
    <cellStyle name="Heading 3 2 4" xfId="568"/>
    <cellStyle name="Heading 3 2 5" xfId="569"/>
    <cellStyle name="Heading 3 2_anakia II etapi.xls sm. defeqturi" xfId="570"/>
    <cellStyle name="Heading 3 3" xfId="571"/>
    <cellStyle name="Heading 3 4" xfId="572"/>
    <cellStyle name="Heading 3 4 2" xfId="573"/>
    <cellStyle name="Heading 3 4_anakia II etapi.xls sm. defeqturi" xfId="574"/>
    <cellStyle name="Heading 3 5" xfId="575"/>
    <cellStyle name="Heading 3 6" xfId="576"/>
    <cellStyle name="Heading 3 7" xfId="577"/>
    <cellStyle name="Heading 4" xfId="578"/>
    <cellStyle name="Heading 4 2" xfId="579"/>
    <cellStyle name="Heading 4 2 2" xfId="580"/>
    <cellStyle name="Heading 4 2 3" xfId="581"/>
    <cellStyle name="Heading 4 2 4" xfId="582"/>
    <cellStyle name="Heading 4 2 5" xfId="583"/>
    <cellStyle name="Heading 4 3" xfId="584"/>
    <cellStyle name="Heading 4 4" xfId="585"/>
    <cellStyle name="Heading 4 4 2" xfId="586"/>
    <cellStyle name="Heading 4 5" xfId="587"/>
    <cellStyle name="Heading 4 6" xfId="588"/>
    <cellStyle name="Heading 4 7" xfId="589"/>
    <cellStyle name="Hyperlink 2" xfId="590"/>
    <cellStyle name="Input" xfId="591"/>
    <cellStyle name="Input 2" xfId="592"/>
    <cellStyle name="Input 2 2" xfId="593"/>
    <cellStyle name="Input 2 3" xfId="594"/>
    <cellStyle name="Input 2 4" xfId="595"/>
    <cellStyle name="Input 2 5" xfId="596"/>
    <cellStyle name="Input 2_anakia II etapi.xls sm. defeqturi" xfId="597"/>
    <cellStyle name="Input 3" xfId="598"/>
    <cellStyle name="Input 4" xfId="599"/>
    <cellStyle name="Input 4 2" xfId="600"/>
    <cellStyle name="Input 4_anakia II etapi.xls sm. defeqturi" xfId="601"/>
    <cellStyle name="Input 5" xfId="602"/>
    <cellStyle name="Input 6" xfId="603"/>
    <cellStyle name="Input 7" xfId="604"/>
    <cellStyle name="Linked Cell" xfId="605"/>
    <cellStyle name="Linked Cell 2" xfId="606"/>
    <cellStyle name="Linked Cell 2 2" xfId="607"/>
    <cellStyle name="Linked Cell 2 3" xfId="608"/>
    <cellStyle name="Linked Cell 2 4" xfId="609"/>
    <cellStyle name="Linked Cell 2 5" xfId="610"/>
    <cellStyle name="Linked Cell 2_anakia II etapi.xls sm. defeqturi" xfId="611"/>
    <cellStyle name="Linked Cell 3" xfId="612"/>
    <cellStyle name="Linked Cell 4" xfId="613"/>
    <cellStyle name="Linked Cell 4 2" xfId="614"/>
    <cellStyle name="Linked Cell 4_anakia II etapi.xls sm. defeqturi" xfId="615"/>
    <cellStyle name="Linked Cell 5" xfId="616"/>
    <cellStyle name="Linked Cell 6" xfId="617"/>
    <cellStyle name="Linked Cell 7" xfId="618"/>
    <cellStyle name="Neutral" xfId="619"/>
    <cellStyle name="Neutral 2" xfId="620"/>
    <cellStyle name="Neutral 2 2" xfId="621"/>
    <cellStyle name="Neutral 2 3" xfId="622"/>
    <cellStyle name="Neutral 2 4" xfId="623"/>
    <cellStyle name="Neutral 2 5" xfId="624"/>
    <cellStyle name="Neutral 3" xfId="625"/>
    <cellStyle name="Neutral 4" xfId="626"/>
    <cellStyle name="Neutral 4 2" xfId="627"/>
    <cellStyle name="Neutral 5" xfId="628"/>
    <cellStyle name="Neutral 6" xfId="629"/>
    <cellStyle name="Neutral 7" xfId="630"/>
    <cellStyle name="Normal" xfId="0" builtinId="0"/>
    <cellStyle name="Normal 10" xfId="631"/>
    <cellStyle name="Normal 10 2" xfId="632"/>
    <cellStyle name="Normal 11" xfId="633"/>
    <cellStyle name="Normal 11 2" xfId="634"/>
    <cellStyle name="Normal 11 2 2" xfId="635"/>
    <cellStyle name="Normal 11 3" xfId="636"/>
    <cellStyle name="Normal 11_GAZI-2010" xfId="637"/>
    <cellStyle name="Normal 12" xfId="638"/>
    <cellStyle name="Normal 12 2" xfId="639"/>
    <cellStyle name="Normal 12_gazis gare qseli" xfId="640"/>
    <cellStyle name="Normal 13" xfId="641"/>
    <cellStyle name="Normal 13 2" xfId="642"/>
    <cellStyle name="Normal 13 2 2" xfId="643"/>
    <cellStyle name="Normal 13 2 3" xfId="644"/>
    <cellStyle name="Normal 13 3" xfId="645"/>
    <cellStyle name="Normal 13 3 2" xfId="646"/>
    <cellStyle name="Normal 13 3 3" xfId="647"/>
    <cellStyle name="Normal 13 3 3 2" xfId="648"/>
    <cellStyle name="Normal 13 3 3 3" xfId="649"/>
    <cellStyle name="Normal 13 3 4" xfId="650"/>
    <cellStyle name="Normal 13 3 5" xfId="651"/>
    <cellStyle name="Normal 13 4" xfId="652"/>
    <cellStyle name="Normal 13 5" xfId="653"/>
    <cellStyle name="Normal 13 5 2" xfId="654"/>
    <cellStyle name="Normal 13 5 3" xfId="655"/>
    <cellStyle name="Normal 13 5 3 2" xfId="656"/>
    <cellStyle name="Normal 13 5 3 3" xfId="657"/>
    <cellStyle name="Normal 13 5 3 4" xfId="658"/>
    <cellStyle name="Normal 13 5 4" xfId="659"/>
    <cellStyle name="Normal 13 6" xfId="660"/>
    <cellStyle name="Normal 13 7" xfId="661"/>
    <cellStyle name="Normal 13 8" xfId="662"/>
    <cellStyle name="Normal 13_# 6-1 27.01.12 - копия (1)" xfId="663"/>
    <cellStyle name="Normal 14" xfId="664"/>
    <cellStyle name="Normal 14 2" xfId="665"/>
    <cellStyle name="Normal 14 3" xfId="666"/>
    <cellStyle name="Normal 14 3 2" xfId="667"/>
    <cellStyle name="Normal 14 4" xfId="668"/>
    <cellStyle name="Normal 14 5" xfId="669"/>
    <cellStyle name="Normal 14 6" xfId="670"/>
    <cellStyle name="Normal 14_anakia II etapi.xls sm. defeqturi" xfId="671"/>
    <cellStyle name="Normal 15" xfId="672"/>
    <cellStyle name="Normal 16" xfId="673"/>
    <cellStyle name="Normal 16 2" xfId="674"/>
    <cellStyle name="Normal 16 3" xfId="675"/>
    <cellStyle name="Normal 16 4" xfId="676"/>
    <cellStyle name="Normal 16_# 6-1 27.01.12 - копия (1)" xfId="677"/>
    <cellStyle name="Normal 17" xfId="678"/>
    <cellStyle name="Normal 18" xfId="679"/>
    <cellStyle name="Normal 19" xfId="680"/>
    <cellStyle name="Normal 2" xfId="4"/>
    <cellStyle name="Normal 2 10" xfId="682"/>
    <cellStyle name="Normal 2 11" xfId="683"/>
    <cellStyle name="Normal 2 12" xfId="681"/>
    <cellStyle name="Normal 2 2" xfId="684"/>
    <cellStyle name="Normal 2 2 2" xfId="685"/>
    <cellStyle name="Normal 2 2 3" xfId="686"/>
    <cellStyle name="Normal 2 2 4" xfId="687"/>
    <cellStyle name="Normal 2 2 5" xfId="688"/>
    <cellStyle name="Normal 2 2 6" xfId="689"/>
    <cellStyle name="Normal 2 2 7" xfId="690"/>
    <cellStyle name="Normal 2 2_2D4CD000" xfId="691"/>
    <cellStyle name="Normal 2 3" xfId="692"/>
    <cellStyle name="Normal 2 4" xfId="693"/>
    <cellStyle name="Normal 2 5" xfId="694"/>
    <cellStyle name="Normal 2 6" xfId="695"/>
    <cellStyle name="Normal 2 7" xfId="696"/>
    <cellStyle name="Normal 2 7 2" xfId="697"/>
    <cellStyle name="Normal 2 7 3" xfId="698"/>
    <cellStyle name="Normal 2 7_anakia II etapi.xls sm. defeqturi" xfId="699"/>
    <cellStyle name="Normal 2 8" xfId="700"/>
    <cellStyle name="Normal 2 9" xfId="701"/>
    <cellStyle name="Normal 2_anakia II etapi.xls sm. defeqturi" xfId="702"/>
    <cellStyle name="Normal 20" xfId="703"/>
    <cellStyle name="Normal 21" xfId="704"/>
    <cellStyle name="Normal 22" xfId="705"/>
    <cellStyle name="Normal 23" xfId="706"/>
    <cellStyle name="Normal 24" xfId="707"/>
    <cellStyle name="Normal 25" xfId="708"/>
    <cellStyle name="Normal 26" xfId="709"/>
    <cellStyle name="Normal 27" xfId="710"/>
    <cellStyle name="Normal 28" xfId="711"/>
    <cellStyle name="Normal 29" xfId="712"/>
    <cellStyle name="Normal 29 2" xfId="713"/>
    <cellStyle name="Normal 3" xfId="2"/>
    <cellStyle name="Normal 3 2" xfId="714"/>
    <cellStyle name="Normal 3 2 2" xfId="715"/>
    <cellStyle name="Normal 3 2_anakia II etapi.xls sm. defeqturi" xfId="716"/>
    <cellStyle name="Normal 3 3" xfId="717"/>
    <cellStyle name="Normal 30" xfId="718"/>
    <cellStyle name="Normal 30 2" xfId="719"/>
    <cellStyle name="Normal 31" xfId="720"/>
    <cellStyle name="Normal 32" xfId="721"/>
    <cellStyle name="Normal 32 2" xfId="722"/>
    <cellStyle name="Normal 32 2 2" xfId="723"/>
    <cellStyle name="Normal 32 3" xfId="724"/>
    <cellStyle name="Normal 32 3 2" xfId="725"/>
    <cellStyle name="Normal 32 3 2 2" xfId="726"/>
    <cellStyle name="Normal 32 4" xfId="727"/>
    <cellStyle name="Normal 32_# 6-1 27.01.12 - копия (1)" xfId="728"/>
    <cellStyle name="Normal 33" xfId="729"/>
    <cellStyle name="Normal 33 2" xfId="730"/>
    <cellStyle name="Normal 34" xfId="731"/>
    <cellStyle name="Normal 35" xfId="732"/>
    <cellStyle name="Normal 35 2" xfId="733"/>
    <cellStyle name="Normal 35 3" xfId="734"/>
    <cellStyle name="Normal 36" xfId="735"/>
    <cellStyle name="Normal 36 2" xfId="736"/>
    <cellStyle name="Normal 36 2 2" xfId="737"/>
    <cellStyle name="Normal 36 2 2 2" xfId="904"/>
    <cellStyle name="Normal 36 2 3" xfId="738"/>
    <cellStyle name="Normal 36 2 4" xfId="739"/>
    <cellStyle name="Normal 36 3" xfId="740"/>
    <cellStyle name="Normal 36 3 2" xfId="911"/>
    <cellStyle name="Normal 36 4" xfId="741"/>
    <cellStyle name="Normal 37" xfId="742"/>
    <cellStyle name="Normal 37 2" xfId="743"/>
    <cellStyle name="Normal 37 3" xfId="912"/>
    <cellStyle name="Normal 38" xfId="744"/>
    <cellStyle name="Normal 38 2" xfId="745"/>
    <cellStyle name="Normal 38 2 2" xfId="746"/>
    <cellStyle name="Normal 38 3" xfId="747"/>
    <cellStyle name="Normal 38 3 2" xfId="748"/>
    <cellStyle name="Normal 38 4" xfId="749"/>
    <cellStyle name="Normal 39" xfId="750"/>
    <cellStyle name="Normal 39 2" xfId="751"/>
    <cellStyle name="Normal 4" xfId="752"/>
    <cellStyle name="Normal 4 2" xfId="753"/>
    <cellStyle name="Normal 4 3" xfId="754"/>
    <cellStyle name="Normal 40" xfId="755"/>
    <cellStyle name="Normal 40 2" xfId="756"/>
    <cellStyle name="Normal 40 3" xfId="757"/>
    <cellStyle name="Normal 41" xfId="758"/>
    <cellStyle name="Normal 41 2" xfId="759"/>
    <cellStyle name="Normal 42" xfId="760"/>
    <cellStyle name="Normal 42 2" xfId="761"/>
    <cellStyle name="Normal 42 3" xfId="762"/>
    <cellStyle name="Normal 43" xfId="763"/>
    <cellStyle name="Normal 44" xfId="764"/>
    <cellStyle name="Normal 45" xfId="765"/>
    <cellStyle name="Normal 46" xfId="766"/>
    <cellStyle name="Normal 47" xfId="767"/>
    <cellStyle name="Normal 47 2" xfId="768"/>
    <cellStyle name="Normal 47 3" xfId="769"/>
    <cellStyle name="Normal 47 3 2" xfId="770"/>
    <cellStyle name="Normal 47 3 3" xfId="771"/>
    <cellStyle name="Normal 47 3 3 2" xfId="913"/>
    <cellStyle name="Normal 47 4" xfId="772"/>
    <cellStyle name="Normal 5" xfId="773"/>
    <cellStyle name="Normal 5 2" xfId="774"/>
    <cellStyle name="Normal 5 2 2" xfId="775"/>
    <cellStyle name="Normal 5 3" xfId="776"/>
    <cellStyle name="Normal 5 4" xfId="777"/>
    <cellStyle name="Normal 5 4 2" xfId="778"/>
    <cellStyle name="Normal 5 4 3" xfId="779"/>
    <cellStyle name="Normal 5 5" xfId="780"/>
    <cellStyle name="Normal 5_Copy of SAN2010" xfId="781"/>
    <cellStyle name="Normal 50" xfId="905"/>
    <cellStyle name="Normal 6" xfId="782"/>
    <cellStyle name="Normal 7" xfId="783"/>
    <cellStyle name="Normal 75" xfId="784"/>
    <cellStyle name="Normal 8" xfId="785"/>
    <cellStyle name="Normal 8 2" xfId="786"/>
    <cellStyle name="Normal 8_2D4CD000" xfId="787"/>
    <cellStyle name="Normal 9" xfId="788"/>
    <cellStyle name="Normal 9 2" xfId="789"/>
    <cellStyle name="Normal 9 2 2" xfId="790"/>
    <cellStyle name="Normal 9 2 3" xfId="791"/>
    <cellStyle name="Normal 9 2 4" xfId="792"/>
    <cellStyle name="Normal 9 2_anakia II etapi.xls sm. defeqturi" xfId="793"/>
    <cellStyle name="Normal 9_2D4CD000" xfId="794"/>
    <cellStyle name="Normal_Book1_axalqalaqis skola " xfId="907"/>
    <cellStyle name="Normal_gare wyalsadfenigagarini 10" xfId="795"/>
    <cellStyle name="Normal_gare wyalsadfenigagarini 2 2" xfId="796"/>
    <cellStyle name="Normal_gare wyalsadfenigagarini_SUSTI DENEBI_axalqalaqis skola " xfId="902"/>
    <cellStyle name="Normal_qavtarazis mravalfunqciuri kompleqsis xarjTaRricxva" xfId="908"/>
    <cellStyle name="Normal_SUSTI DENEBI" xfId="906"/>
    <cellStyle name="Note" xfId="797"/>
    <cellStyle name="Note 2" xfId="798"/>
    <cellStyle name="Note 2 2" xfId="799"/>
    <cellStyle name="Note 2 3" xfId="800"/>
    <cellStyle name="Note 2 4" xfId="801"/>
    <cellStyle name="Note 2 5" xfId="802"/>
    <cellStyle name="Note 2_anakia II etapi.xls sm. defeqturi" xfId="803"/>
    <cellStyle name="Note 3" xfId="804"/>
    <cellStyle name="Note 4" xfId="805"/>
    <cellStyle name="Note 4 2" xfId="806"/>
    <cellStyle name="Note 4_anakia II etapi.xls sm. defeqturi" xfId="807"/>
    <cellStyle name="Note 5" xfId="808"/>
    <cellStyle name="Note 6" xfId="809"/>
    <cellStyle name="Note 7" xfId="810"/>
    <cellStyle name="Output" xfId="811"/>
    <cellStyle name="Output 2" xfId="812"/>
    <cellStyle name="Output 2 2" xfId="813"/>
    <cellStyle name="Output 2 3" xfId="814"/>
    <cellStyle name="Output 2 4" xfId="815"/>
    <cellStyle name="Output 2 5" xfId="816"/>
    <cellStyle name="Output 2_anakia II etapi.xls sm. defeqturi" xfId="817"/>
    <cellStyle name="Output 3" xfId="818"/>
    <cellStyle name="Output 4" xfId="819"/>
    <cellStyle name="Output 4 2" xfId="820"/>
    <cellStyle name="Output 4_anakia II etapi.xls sm. defeqturi" xfId="821"/>
    <cellStyle name="Output 5" xfId="822"/>
    <cellStyle name="Output 6" xfId="823"/>
    <cellStyle name="Output 7" xfId="824"/>
    <cellStyle name="Percent 2" xfId="825"/>
    <cellStyle name="Percent 3" xfId="826"/>
    <cellStyle name="Percent 3 2" xfId="827"/>
    <cellStyle name="Percent 4" xfId="828"/>
    <cellStyle name="Percent 5" xfId="829"/>
    <cellStyle name="Percent 6" xfId="830"/>
    <cellStyle name="Style 1" xfId="831"/>
    <cellStyle name="Title" xfId="832"/>
    <cellStyle name="Title 2" xfId="833"/>
    <cellStyle name="Title 2 2" xfId="834"/>
    <cellStyle name="Title 2 3" xfId="835"/>
    <cellStyle name="Title 2 4" xfId="836"/>
    <cellStyle name="Title 2 5" xfId="837"/>
    <cellStyle name="Title 3" xfId="838"/>
    <cellStyle name="Title 4" xfId="839"/>
    <cellStyle name="Title 4 2" xfId="840"/>
    <cellStyle name="Title 5" xfId="841"/>
    <cellStyle name="Title 6" xfId="842"/>
    <cellStyle name="Title 7" xfId="843"/>
    <cellStyle name="Total" xfId="844"/>
    <cellStyle name="Total 2" xfId="845"/>
    <cellStyle name="Total 2 2" xfId="846"/>
    <cellStyle name="Total 2 3" xfId="847"/>
    <cellStyle name="Total 2 4" xfId="848"/>
    <cellStyle name="Total 2 5" xfId="849"/>
    <cellStyle name="Total 2_anakia II etapi.xls sm. defeqturi" xfId="850"/>
    <cellStyle name="Total 3" xfId="851"/>
    <cellStyle name="Total 4" xfId="852"/>
    <cellStyle name="Total 4 2" xfId="853"/>
    <cellStyle name="Total 4_anakia II etapi.xls sm. defeqturi" xfId="854"/>
    <cellStyle name="Total 5" xfId="855"/>
    <cellStyle name="Total 6" xfId="856"/>
    <cellStyle name="Total 7" xfId="857"/>
    <cellStyle name="Warning Text" xfId="858"/>
    <cellStyle name="Warning Text 2" xfId="859"/>
    <cellStyle name="Warning Text 2 2" xfId="860"/>
    <cellStyle name="Warning Text 2 3" xfId="861"/>
    <cellStyle name="Warning Text 2 4" xfId="862"/>
    <cellStyle name="Warning Text 2 5" xfId="863"/>
    <cellStyle name="Warning Text 3" xfId="864"/>
    <cellStyle name="Warning Text 4" xfId="865"/>
    <cellStyle name="Warning Text 4 2" xfId="866"/>
    <cellStyle name="Warning Text 5" xfId="867"/>
    <cellStyle name="Warning Text 6" xfId="868"/>
    <cellStyle name="Warning Text 7" xfId="869"/>
    <cellStyle name="Обычный 10" xfId="870"/>
    <cellStyle name="Обычный 10 2" xfId="871"/>
    <cellStyle name="Обычный 11" xfId="5"/>
    <cellStyle name="Обычный 2" xfId="3"/>
    <cellStyle name="Обычный 2 2" xfId="872"/>
    <cellStyle name="Обычный 3" xfId="873"/>
    <cellStyle name="Обычный 3 2" xfId="874"/>
    <cellStyle name="Обычный 3 3" xfId="875"/>
    <cellStyle name="Обычный 4" xfId="876"/>
    <cellStyle name="Обычный 4 2" xfId="877"/>
    <cellStyle name="Обычный 4 3" xfId="878"/>
    <cellStyle name="Обычный 4 4" xfId="879"/>
    <cellStyle name="Обычный 5" xfId="880"/>
    <cellStyle name="Обычный 5 2" xfId="881"/>
    <cellStyle name="Обычный 5 2 2" xfId="882"/>
    <cellStyle name="Обычный 5 3" xfId="883"/>
    <cellStyle name="Обычный 5 4" xfId="884"/>
    <cellStyle name="Обычный 5 4 2" xfId="885"/>
    <cellStyle name="Обычный 5 5" xfId="886"/>
    <cellStyle name="Обычный 6" xfId="887"/>
    <cellStyle name="Обычный 6 2" xfId="888"/>
    <cellStyle name="Обычный 7" xfId="889"/>
    <cellStyle name="Обычный 8" xfId="890"/>
    <cellStyle name="Обычный 8 2" xfId="891"/>
    <cellStyle name="Обычный 8 2 2" xfId="915"/>
    <cellStyle name="Обычный 8 3" xfId="914"/>
    <cellStyle name="Обычный 9" xfId="892"/>
    <cellStyle name="Обычный_Лист1" xfId="903"/>
    <cellStyle name="Плохой 2" xfId="893"/>
    <cellStyle name="Процентный 2" xfId="894"/>
    <cellStyle name="Процентный 3" xfId="895"/>
    <cellStyle name="Процентный 3 2" xfId="896"/>
    <cellStyle name="Финансовый 2" xfId="897"/>
    <cellStyle name="Финансовый 2 2" xfId="898"/>
    <cellStyle name="Финансовый 3" xfId="899"/>
    <cellStyle name="Финансовый 4" xfId="900"/>
    <cellStyle name="Финансовый 5" xfId="901"/>
    <cellStyle name="Финансовый 6" xfId="478"/>
    <cellStyle name="Финансовый 6 2" xfId="909"/>
  </cellStyles>
  <dxfs count="6">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
      <font>
        <condense val="0"/>
        <extend val="0"/>
        <color indexed="20"/>
      </font>
      <fill>
        <patternFill>
          <bgColor indexed="45"/>
        </patternFill>
      </fill>
    </dxf>
  </dxfs>
  <tableStyles count="0" defaultTableStyle="TableStyleMedium9" defaultPivotStyle="PivotStyleLight16"/>
  <colors>
    <mruColors>
      <color rgb="FFCCFF33"/>
      <color rgb="FF0000FF"/>
      <color rgb="FFFF99FF"/>
      <color rgb="FFFFCCFF"/>
      <color rgb="FFFFFFCC"/>
      <color rgb="FF008080"/>
      <color rgb="FFCCCCFF"/>
      <color rgb="FFFF6600"/>
      <color rgb="FFCCCC0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1476375</xdr:colOff>
      <xdr:row>48</xdr:row>
      <xdr:rowOff>0</xdr:rowOff>
    </xdr:from>
    <xdr:to>
      <xdr:col>1</xdr:col>
      <xdr:colOff>1491615</xdr:colOff>
      <xdr:row>48</xdr:row>
      <xdr:rowOff>200026</xdr:rowOff>
    </xdr:to>
    <xdr:sp macro="" textlink="">
      <xdr:nvSpPr>
        <xdr:cNvPr id="2" name="Text Box 1">
          <a:extLst>
            <a:ext uri="{FF2B5EF4-FFF2-40B4-BE49-F238E27FC236}">
              <a16:creationId xmlns="" xmlns:a16="http://schemas.microsoft.com/office/drawing/2014/main" id="{87FCFB28-3557-4ECC-A9F9-7DAAC4D671FD}"/>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 name="Text Box 1">
          <a:extLst>
            <a:ext uri="{FF2B5EF4-FFF2-40B4-BE49-F238E27FC236}">
              <a16:creationId xmlns="" xmlns:a16="http://schemas.microsoft.com/office/drawing/2014/main" id="{B10AE082-5C0C-43BC-848B-E883833AD83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 name="Text Box 2">
          <a:extLst>
            <a:ext uri="{FF2B5EF4-FFF2-40B4-BE49-F238E27FC236}">
              <a16:creationId xmlns="" xmlns:a16="http://schemas.microsoft.com/office/drawing/2014/main" id="{791BA924-0DFB-4936-A357-E4248A42865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5" name="Text Box 1">
          <a:extLst>
            <a:ext uri="{FF2B5EF4-FFF2-40B4-BE49-F238E27FC236}">
              <a16:creationId xmlns="" xmlns:a16="http://schemas.microsoft.com/office/drawing/2014/main" id="{DBD19911-2D9B-4D28-91B5-0F54C4E439F2}"/>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6" name="Text Box 2">
          <a:extLst>
            <a:ext uri="{FF2B5EF4-FFF2-40B4-BE49-F238E27FC236}">
              <a16:creationId xmlns="" xmlns:a16="http://schemas.microsoft.com/office/drawing/2014/main" id="{EAE6F87F-092B-476E-AF34-70C0BE31B93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7" name="Text Box 1">
          <a:extLst>
            <a:ext uri="{FF2B5EF4-FFF2-40B4-BE49-F238E27FC236}">
              <a16:creationId xmlns="" xmlns:a16="http://schemas.microsoft.com/office/drawing/2014/main" id="{7E161D3F-F279-4C6D-A823-FE3BB9BA490B}"/>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8" name="Text Box 2">
          <a:extLst>
            <a:ext uri="{FF2B5EF4-FFF2-40B4-BE49-F238E27FC236}">
              <a16:creationId xmlns="" xmlns:a16="http://schemas.microsoft.com/office/drawing/2014/main" id="{F8B9E75A-EF7F-4934-A9D7-218E0FD397E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9" name="Text Box 1">
          <a:extLst>
            <a:ext uri="{FF2B5EF4-FFF2-40B4-BE49-F238E27FC236}">
              <a16:creationId xmlns="" xmlns:a16="http://schemas.microsoft.com/office/drawing/2014/main" id="{BE7AAF50-A53A-448C-B330-A7FD2D5B9DAD}"/>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0" name="Text Box 2">
          <a:extLst>
            <a:ext uri="{FF2B5EF4-FFF2-40B4-BE49-F238E27FC236}">
              <a16:creationId xmlns="" xmlns:a16="http://schemas.microsoft.com/office/drawing/2014/main" id="{96FFFC04-B67D-4264-A91F-CAC4836B6EC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1" name="Text Box 1">
          <a:extLst>
            <a:ext uri="{FF2B5EF4-FFF2-40B4-BE49-F238E27FC236}">
              <a16:creationId xmlns="" xmlns:a16="http://schemas.microsoft.com/office/drawing/2014/main" id="{05170D35-48D1-40B2-9262-14216914F112}"/>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 name="Text Box 2">
          <a:extLst>
            <a:ext uri="{FF2B5EF4-FFF2-40B4-BE49-F238E27FC236}">
              <a16:creationId xmlns="" xmlns:a16="http://schemas.microsoft.com/office/drawing/2014/main" id="{B077BD6F-F516-4715-83F8-659B97728559}"/>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 name="Text Box 2">
          <a:extLst>
            <a:ext uri="{FF2B5EF4-FFF2-40B4-BE49-F238E27FC236}">
              <a16:creationId xmlns="" xmlns:a16="http://schemas.microsoft.com/office/drawing/2014/main" id="{00F74684-3788-4B17-84BD-D8B39153DCA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 name="Text Box 2">
          <a:extLst>
            <a:ext uri="{FF2B5EF4-FFF2-40B4-BE49-F238E27FC236}">
              <a16:creationId xmlns="" xmlns:a16="http://schemas.microsoft.com/office/drawing/2014/main" id="{856EB3EA-2D0B-47E7-8644-D44D620DE159}"/>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 name="Text Box 2">
          <a:extLst>
            <a:ext uri="{FF2B5EF4-FFF2-40B4-BE49-F238E27FC236}">
              <a16:creationId xmlns="" xmlns:a16="http://schemas.microsoft.com/office/drawing/2014/main" id="{C181CB00-8837-4DA0-9C0F-07D63F34B250}"/>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6" name="Text Box 2">
          <a:extLst>
            <a:ext uri="{FF2B5EF4-FFF2-40B4-BE49-F238E27FC236}">
              <a16:creationId xmlns="" xmlns:a16="http://schemas.microsoft.com/office/drawing/2014/main" id="{5D2A49FE-8012-4E40-AE57-A3C81C020189}"/>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7" name="Text Box 2">
          <a:extLst>
            <a:ext uri="{FF2B5EF4-FFF2-40B4-BE49-F238E27FC236}">
              <a16:creationId xmlns="" xmlns:a16="http://schemas.microsoft.com/office/drawing/2014/main" id="{B084BD44-6C2B-4118-B778-6141C11B97C3}"/>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18" name="Text Box 1">
          <a:extLst>
            <a:ext uri="{FF2B5EF4-FFF2-40B4-BE49-F238E27FC236}">
              <a16:creationId xmlns="" xmlns:a16="http://schemas.microsoft.com/office/drawing/2014/main" id="{4936D734-624E-436A-AF0A-97F3736024E5}"/>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9" name="Text Box 1">
          <a:extLst>
            <a:ext uri="{FF2B5EF4-FFF2-40B4-BE49-F238E27FC236}">
              <a16:creationId xmlns="" xmlns:a16="http://schemas.microsoft.com/office/drawing/2014/main" id="{F2AC62EB-D8EC-4101-9221-C4348768D813}"/>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0" name="Text Box 2">
          <a:extLst>
            <a:ext uri="{FF2B5EF4-FFF2-40B4-BE49-F238E27FC236}">
              <a16:creationId xmlns="" xmlns:a16="http://schemas.microsoft.com/office/drawing/2014/main" id="{63ADDAF1-D718-4F95-9274-F4624895CDD9}"/>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21" name="Text Box 1">
          <a:extLst>
            <a:ext uri="{FF2B5EF4-FFF2-40B4-BE49-F238E27FC236}">
              <a16:creationId xmlns="" xmlns:a16="http://schemas.microsoft.com/office/drawing/2014/main" id="{67BAB250-305B-443F-AC77-DB1A739D9F6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2" name="Text Box 2">
          <a:extLst>
            <a:ext uri="{FF2B5EF4-FFF2-40B4-BE49-F238E27FC236}">
              <a16:creationId xmlns="" xmlns:a16="http://schemas.microsoft.com/office/drawing/2014/main" id="{762E4949-FF83-4362-A71D-4CC2E8034CDF}"/>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23" name="Text Box 1">
          <a:extLst>
            <a:ext uri="{FF2B5EF4-FFF2-40B4-BE49-F238E27FC236}">
              <a16:creationId xmlns="" xmlns:a16="http://schemas.microsoft.com/office/drawing/2014/main" id="{33A3F911-7B73-4AE1-9B4D-F16A57B4C359}"/>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4" name="Text Box 2">
          <a:extLst>
            <a:ext uri="{FF2B5EF4-FFF2-40B4-BE49-F238E27FC236}">
              <a16:creationId xmlns="" xmlns:a16="http://schemas.microsoft.com/office/drawing/2014/main" id="{5641624A-C52B-4AB2-B112-A50B94A341BF}"/>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5" name="Text Box 2">
          <a:extLst>
            <a:ext uri="{FF2B5EF4-FFF2-40B4-BE49-F238E27FC236}">
              <a16:creationId xmlns="" xmlns:a16="http://schemas.microsoft.com/office/drawing/2014/main" id="{E9A8E0BE-2C81-4DBD-B0E5-2854744D2AB6}"/>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6" name="Text Box 2">
          <a:extLst>
            <a:ext uri="{FF2B5EF4-FFF2-40B4-BE49-F238E27FC236}">
              <a16:creationId xmlns="" xmlns:a16="http://schemas.microsoft.com/office/drawing/2014/main" id="{F0B17838-E39C-41DE-A9A4-8F4A6F6FA83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7" name="Text Box 2">
          <a:extLst>
            <a:ext uri="{FF2B5EF4-FFF2-40B4-BE49-F238E27FC236}">
              <a16:creationId xmlns="" xmlns:a16="http://schemas.microsoft.com/office/drawing/2014/main" id="{176B0A0E-08C9-4913-8E25-350C56F0049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28" name="Text Box 1">
          <a:extLst>
            <a:ext uri="{FF2B5EF4-FFF2-40B4-BE49-F238E27FC236}">
              <a16:creationId xmlns="" xmlns:a16="http://schemas.microsoft.com/office/drawing/2014/main" id="{591C9606-F053-4883-9F6B-57095E9E6899}"/>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29" name="Text Box 2">
          <a:extLst>
            <a:ext uri="{FF2B5EF4-FFF2-40B4-BE49-F238E27FC236}">
              <a16:creationId xmlns="" xmlns:a16="http://schemas.microsoft.com/office/drawing/2014/main" id="{AC536BC4-5867-4E02-909B-9CB551444985}"/>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0" name="Text Box 1">
          <a:extLst>
            <a:ext uri="{FF2B5EF4-FFF2-40B4-BE49-F238E27FC236}">
              <a16:creationId xmlns="" xmlns:a16="http://schemas.microsoft.com/office/drawing/2014/main" id="{3587ACB5-35A9-4D41-A859-17BC57FFCC2F}"/>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31" name="Text Box 2">
          <a:extLst>
            <a:ext uri="{FF2B5EF4-FFF2-40B4-BE49-F238E27FC236}">
              <a16:creationId xmlns="" xmlns:a16="http://schemas.microsoft.com/office/drawing/2014/main" id="{11F82F1D-5F48-447C-B0B8-8955C040EC71}"/>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2" name="Text Box 1">
          <a:extLst>
            <a:ext uri="{FF2B5EF4-FFF2-40B4-BE49-F238E27FC236}">
              <a16:creationId xmlns="" xmlns:a16="http://schemas.microsoft.com/office/drawing/2014/main" id="{E4C580A2-417E-42E5-BA44-5DDE9BC3EA4B}"/>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33" name="Text Box 2">
          <a:extLst>
            <a:ext uri="{FF2B5EF4-FFF2-40B4-BE49-F238E27FC236}">
              <a16:creationId xmlns="" xmlns:a16="http://schemas.microsoft.com/office/drawing/2014/main" id="{C676EB1E-4EF3-496B-A8E3-82FA49EF7CA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4" name="Text Box 1">
          <a:extLst>
            <a:ext uri="{FF2B5EF4-FFF2-40B4-BE49-F238E27FC236}">
              <a16:creationId xmlns="" xmlns:a16="http://schemas.microsoft.com/office/drawing/2014/main" id="{97725E5C-6FE6-4401-9595-8E1F7FC3BCB4}"/>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35" name="Text Box 2">
          <a:extLst>
            <a:ext uri="{FF2B5EF4-FFF2-40B4-BE49-F238E27FC236}">
              <a16:creationId xmlns="" xmlns:a16="http://schemas.microsoft.com/office/drawing/2014/main" id="{21EFFF72-2D36-4CDB-B130-0825F996885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6" name="Text Box 1">
          <a:extLst>
            <a:ext uri="{FF2B5EF4-FFF2-40B4-BE49-F238E27FC236}">
              <a16:creationId xmlns="" xmlns:a16="http://schemas.microsoft.com/office/drawing/2014/main" id="{51EF3124-CF96-40B8-8C6B-0760E5470C77}"/>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37" name="Text Box 2">
          <a:extLst>
            <a:ext uri="{FF2B5EF4-FFF2-40B4-BE49-F238E27FC236}">
              <a16:creationId xmlns="" xmlns:a16="http://schemas.microsoft.com/office/drawing/2014/main" id="{BD272BA6-35C3-4452-AD9F-568EB12128C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38" name="Text Box 1">
          <a:extLst>
            <a:ext uri="{FF2B5EF4-FFF2-40B4-BE49-F238E27FC236}">
              <a16:creationId xmlns="" xmlns:a16="http://schemas.microsoft.com/office/drawing/2014/main" id="{3CEBF1F2-61D8-4C4F-A6C0-CE5080B09B3A}"/>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39" name="Text Box 2">
          <a:extLst>
            <a:ext uri="{FF2B5EF4-FFF2-40B4-BE49-F238E27FC236}">
              <a16:creationId xmlns="" xmlns:a16="http://schemas.microsoft.com/office/drawing/2014/main" id="{6229EA64-9940-42EB-A52E-387386ED551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0" name="Text Box 2">
          <a:extLst>
            <a:ext uri="{FF2B5EF4-FFF2-40B4-BE49-F238E27FC236}">
              <a16:creationId xmlns="" xmlns:a16="http://schemas.microsoft.com/office/drawing/2014/main" id="{2826FB6A-76A9-47C7-8CCF-ABE8C08FAFC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1" name="Text Box 2">
          <a:extLst>
            <a:ext uri="{FF2B5EF4-FFF2-40B4-BE49-F238E27FC236}">
              <a16:creationId xmlns="" xmlns:a16="http://schemas.microsoft.com/office/drawing/2014/main" id="{0698FF11-EB79-4FA5-83A7-FFED91239A1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2" name="Text Box 2">
          <a:extLst>
            <a:ext uri="{FF2B5EF4-FFF2-40B4-BE49-F238E27FC236}">
              <a16:creationId xmlns="" xmlns:a16="http://schemas.microsoft.com/office/drawing/2014/main" id="{7732CE68-5234-4444-9D41-683A1726D94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43" name="Text Box 2">
          <a:extLst>
            <a:ext uri="{FF2B5EF4-FFF2-40B4-BE49-F238E27FC236}">
              <a16:creationId xmlns="" xmlns:a16="http://schemas.microsoft.com/office/drawing/2014/main" id="{C8908122-CF82-469A-A8A2-0B89C74C2B16}"/>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44" name="Text Box 2">
          <a:extLst>
            <a:ext uri="{FF2B5EF4-FFF2-40B4-BE49-F238E27FC236}">
              <a16:creationId xmlns="" xmlns:a16="http://schemas.microsoft.com/office/drawing/2014/main" id="{EFDECC1A-ABF2-4462-BE3E-71669766600C}"/>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45" name="Text Box 1">
          <a:extLst>
            <a:ext uri="{FF2B5EF4-FFF2-40B4-BE49-F238E27FC236}">
              <a16:creationId xmlns="" xmlns:a16="http://schemas.microsoft.com/office/drawing/2014/main" id="{610DC88C-7D52-458C-9209-25E5AAACD128}"/>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46" name="Text Box 1">
          <a:extLst>
            <a:ext uri="{FF2B5EF4-FFF2-40B4-BE49-F238E27FC236}">
              <a16:creationId xmlns="" xmlns:a16="http://schemas.microsoft.com/office/drawing/2014/main" id="{B9BB54CC-6FA3-47CC-ADF2-B0AC97114CC3}"/>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7" name="Text Box 2">
          <a:extLst>
            <a:ext uri="{FF2B5EF4-FFF2-40B4-BE49-F238E27FC236}">
              <a16:creationId xmlns="" xmlns:a16="http://schemas.microsoft.com/office/drawing/2014/main" id="{E1A07590-7211-4174-A5A8-90AC9E75073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48" name="Text Box 1">
          <a:extLst>
            <a:ext uri="{FF2B5EF4-FFF2-40B4-BE49-F238E27FC236}">
              <a16:creationId xmlns="" xmlns:a16="http://schemas.microsoft.com/office/drawing/2014/main" id="{24FB1A18-B05D-4F06-A58A-4606869F6C3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49" name="Text Box 2">
          <a:extLst>
            <a:ext uri="{FF2B5EF4-FFF2-40B4-BE49-F238E27FC236}">
              <a16:creationId xmlns="" xmlns:a16="http://schemas.microsoft.com/office/drawing/2014/main" id="{95891512-4C5D-43D1-B391-46F00AB14246}"/>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50" name="Text Box 1">
          <a:extLst>
            <a:ext uri="{FF2B5EF4-FFF2-40B4-BE49-F238E27FC236}">
              <a16:creationId xmlns="" xmlns:a16="http://schemas.microsoft.com/office/drawing/2014/main" id="{4D1014E2-CF07-4A31-ABBB-150EF1F1CBD2}"/>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51" name="Text Box 2">
          <a:extLst>
            <a:ext uri="{FF2B5EF4-FFF2-40B4-BE49-F238E27FC236}">
              <a16:creationId xmlns="" xmlns:a16="http://schemas.microsoft.com/office/drawing/2014/main" id="{5868D2CD-E76E-4DD3-8DCB-666AFB5466B8}"/>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52" name="Text Box 2">
          <a:extLst>
            <a:ext uri="{FF2B5EF4-FFF2-40B4-BE49-F238E27FC236}">
              <a16:creationId xmlns="" xmlns:a16="http://schemas.microsoft.com/office/drawing/2014/main" id="{5D40C946-9681-44B6-A903-92AAF83B1F71}"/>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53" name="Text Box 2">
          <a:extLst>
            <a:ext uri="{FF2B5EF4-FFF2-40B4-BE49-F238E27FC236}">
              <a16:creationId xmlns="" xmlns:a16="http://schemas.microsoft.com/office/drawing/2014/main" id="{8FDE9A6A-7573-4AED-B6F2-4345E8EC1DEF}"/>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54" name="Text Box 2">
          <a:extLst>
            <a:ext uri="{FF2B5EF4-FFF2-40B4-BE49-F238E27FC236}">
              <a16:creationId xmlns="" xmlns:a16="http://schemas.microsoft.com/office/drawing/2014/main" id="{D73A56E9-16F2-4BB5-896A-A04A528AFBFD}"/>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55" name="Text Box 1">
          <a:extLst>
            <a:ext uri="{FF2B5EF4-FFF2-40B4-BE49-F238E27FC236}">
              <a16:creationId xmlns="" xmlns:a16="http://schemas.microsoft.com/office/drawing/2014/main" id="{1197D45A-6B44-4412-9162-656F2310ADDE}"/>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56" name="Text Box 2">
          <a:extLst>
            <a:ext uri="{FF2B5EF4-FFF2-40B4-BE49-F238E27FC236}">
              <a16:creationId xmlns="" xmlns:a16="http://schemas.microsoft.com/office/drawing/2014/main" id="{636EA1A3-A27D-42BB-8AEB-25DC72A87EE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57" name="Text Box 1">
          <a:extLst>
            <a:ext uri="{FF2B5EF4-FFF2-40B4-BE49-F238E27FC236}">
              <a16:creationId xmlns="" xmlns:a16="http://schemas.microsoft.com/office/drawing/2014/main" id="{A247D922-6509-4D7E-AE55-D51E7E8D5128}"/>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58" name="Text Box 2">
          <a:extLst>
            <a:ext uri="{FF2B5EF4-FFF2-40B4-BE49-F238E27FC236}">
              <a16:creationId xmlns="" xmlns:a16="http://schemas.microsoft.com/office/drawing/2014/main" id="{30983007-D690-4129-883C-FDE2FAA3A8DB}"/>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59" name="Text Box 1">
          <a:extLst>
            <a:ext uri="{FF2B5EF4-FFF2-40B4-BE49-F238E27FC236}">
              <a16:creationId xmlns="" xmlns:a16="http://schemas.microsoft.com/office/drawing/2014/main" id="{F6E84EA8-4F4B-4609-8966-5D7CD2734B73}"/>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0" name="Text Box 2">
          <a:extLst>
            <a:ext uri="{FF2B5EF4-FFF2-40B4-BE49-F238E27FC236}">
              <a16:creationId xmlns="" xmlns:a16="http://schemas.microsoft.com/office/drawing/2014/main" id="{23515C4A-238B-40E0-9B0E-06DB2FB1D3A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61" name="Text Box 1">
          <a:extLst>
            <a:ext uri="{FF2B5EF4-FFF2-40B4-BE49-F238E27FC236}">
              <a16:creationId xmlns="" xmlns:a16="http://schemas.microsoft.com/office/drawing/2014/main" id="{09575086-ED15-4B6B-B7EB-225D040CCBA4}"/>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2" name="Text Box 2">
          <a:extLst>
            <a:ext uri="{FF2B5EF4-FFF2-40B4-BE49-F238E27FC236}">
              <a16:creationId xmlns="" xmlns:a16="http://schemas.microsoft.com/office/drawing/2014/main" id="{5E439578-6013-4568-9421-F6386659D73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63" name="Text Box 1">
          <a:extLst>
            <a:ext uri="{FF2B5EF4-FFF2-40B4-BE49-F238E27FC236}">
              <a16:creationId xmlns="" xmlns:a16="http://schemas.microsoft.com/office/drawing/2014/main" id="{ACF0611D-20E0-4DDB-9518-F3CC6DCF866B}"/>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4" name="Text Box 2">
          <a:extLst>
            <a:ext uri="{FF2B5EF4-FFF2-40B4-BE49-F238E27FC236}">
              <a16:creationId xmlns="" xmlns:a16="http://schemas.microsoft.com/office/drawing/2014/main" id="{DFD01F43-751B-4C0E-96FD-AE5980BC3C27}"/>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65" name="Text Box 1">
          <a:extLst>
            <a:ext uri="{FF2B5EF4-FFF2-40B4-BE49-F238E27FC236}">
              <a16:creationId xmlns="" xmlns:a16="http://schemas.microsoft.com/office/drawing/2014/main" id="{5178D65D-4582-4636-97D1-ECF1CA4486EE}"/>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6" name="Text Box 2">
          <a:extLst>
            <a:ext uri="{FF2B5EF4-FFF2-40B4-BE49-F238E27FC236}">
              <a16:creationId xmlns="" xmlns:a16="http://schemas.microsoft.com/office/drawing/2014/main" id="{EF30F017-352D-4CB7-8A43-7E443708922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7" name="Text Box 2">
          <a:extLst>
            <a:ext uri="{FF2B5EF4-FFF2-40B4-BE49-F238E27FC236}">
              <a16:creationId xmlns="" xmlns:a16="http://schemas.microsoft.com/office/drawing/2014/main" id="{671BEA6D-80BC-4BE5-B1F1-B0E73B7195FD}"/>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8" name="Text Box 2">
          <a:extLst>
            <a:ext uri="{FF2B5EF4-FFF2-40B4-BE49-F238E27FC236}">
              <a16:creationId xmlns="" xmlns:a16="http://schemas.microsoft.com/office/drawing/2014/main" id="{E890D80E-2F4C-4E59-A804-505B11069FF7}"/>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69" name="Text Box 2">
          <a:extLst>
            <a:ext uri="{FF2B5EF4-FFF2-40B4-BE49-F238E27FC236}">
              <a16:creationId xmlns="" xmlns:a16="http://schemas.microsoft.com/office/drawing/2014/main" id="{DB54CBFA-6CAD-40FA-AA8F-36415B0768E3}"/>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70" name="Text Box 2">
          <a:extLst>
            <a:ext uri="{FF2B5EF4-FFF2-40B4-BE49-F238E27FC236}">
              <a16:creationId xmlns="" xmlns:a16="http://schemas.microsoft.com/office/drawing/2014/main" id="{B3C11892-14DF-4C90-AB5E-B2A5782932A7}"/>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71" name="Text Box 2">
          <a:extLst>
            <a:ext uri="{FF2B5EF4-FFF2-40B4-BE49-F238E27FC236}">
              <a16:creationId xmlns="" xmlns:a16="http://schemas.microsoft.com/office/drawing/2014/main" id="{86D46F09-5D21-4A67-BC29-24E296D94E27}"/>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72" name="Text Box 1">
          <a:extLst>
            <a:ext uri="{FF2B5EF4-FFF2-40B4-BE49-F238E27FC236}">
              <a16:creationId xmlns="" xmlns:a16="http://schemas.microsoft.com/office/drawing/2014/main" id="{52186067-02B1-4082-B317-AD88E9E74083}"/>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73" name="Text Box 1">
          <a:extLst>
            <a:ext uri="{FF2B5EF4-FFF2-40B4-BE49-F238E27FC236}">
              <a16:creationId xmlns="" xmlns:a16="http://schemas.microsoft.com/office/drawing/2014/main" id="{F3AA43AF-86E4-4416-B956-E7F275BD6A71}"/>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74" name="Text Box 2">
          <a:extLst>
            <a:ext uri="{FF2B5EF4-FFF2-40B4-BE49-F238E27FC236}">
              <a16:creationId xmlns="" xmlns:a16="http://schemas.microsoft.com/office/drawing/2014/main" id="{9056D3E3-5FCE-4D6F-A462-E2C9D4005B0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75" name="Text Box 1">
          <a:extLst>
            <a:ext uri="{FF2B5EF4-FFF2-40B4-BE49-F238E27FC236}">
              <a16:creationId xmlns="" xmlns:a16="http://schemas.microsoft.com/office/drawing/2014/main" id="{1FA55B1F-F97B-4A64-B130-7F262E48E794}"/>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76" name="Text Box 2">
          <a:extLst>
            <a:ext uri="{FF2B5EF4-FFF2-40B4-BE49-F238E27FC236}">
              <a16:creationId xmlns="" xmlns:a16="http://schemas.microsoft.com/office/drawing/2014/main" id="{40DAD665-E5F5-4C07-9EC3-FC09B1B9FB3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77" name="Text Box 1">
          <a:extLst>
            <a:ext uri="{FF2B5EF4-FFF2-40B4-BE49-F238E27FC236}">
              <a16:creationId xmlns="" xmlns:a16="http://schemas.microsoft.com/office/drawing/2014/main" id="{892C0207-9F51-4358-A4D8-7C331048594A}"/>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78" name="Text Box 2">
          <a:extLst>
            <a:ext uri="{FF2B5EF4-FFF2-40B4-BE49-F238E27FC236}">
              <a16:creationId xmlns="" xmlns:a16="http://schemas.microsoft.com/office/drawing/2014/main" id="{BE5A5F8E-23FB-4B06-8CE3-43A8BC252B5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79" name="Text Box 2">
          <a:extLst>
            <a:ext uri="{FF2B5EF4-FFF2-40B4-BE49-F238E27FC236}">
              <a16:creationId xmlns="" xmlns:a16="http://schemas.microsoft.com/office/drawing/2014/main" id="{ECC7EAA0-0A89-4EC6-A1FF-9639C59C31C7}"/>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0" name="Text Box 2">
          <a:extLst>
            <a:ext uri="{FF2B5EF4-FFF2-40B4-BE49-F238E27FC236}">
              <a16:creationId xmlns="" xmlns:a16="http://schemas.microsoft.com/office/drawing/2014/main" id="{09A20A41-C246-45DD-A17A-B0974075109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1" name="Text Box 2">
          <a:extLst>
            <a:ext uri="{FF2B5EF4-FFF2-40B4-BE49-F238E27FC236}">
              <a16:creationId xmlns="" xmlns:a16="http://schemas.microsoft.com/office/drawing/2014/main" id="{51A99BB5-2330-481F-BC62-6FFF7599A6D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82" name="Text Box 1">
          <a:extLst>
            <a:ext uri="{FF2B5EF4-FFF2-40B4-BE49-F238E27FC236}">
              <a16:creationId xmlns="" xmlns:a16="http://schemas.microsoft.com/office/drawing/2014/main" id="{7BEB0D54-5DD0-4539-AEA4-BE60EF1F15D6}"/>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3" name="Text Box 2">
          <a:extLst>
            <a:ext uri="{FF2B5EF4-FFF2-40B4-BE49-F238E27FC236}">
              <a16:creationId xmlns="" xmlns:a16="http://schemas.microsoft.com/office/drawing/2014/main" id="{5EA10006-EE31-4C86-B4B3-E48CCB3E213F}"/>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84" name="Text Box 1">
          <a:extLst>
            <a:ext uri="{FF2B5EF4-FFF2-40B4-BE49-F238E27FC236}">
              <a16:creationId xmlns="" xmlns:a16="http://schemas.microsoft.com/office/drawing/2014/main" id="{71FD4B27-BA48-4742-B2AF-3670BFCDCC25}"/>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5" name="Text Box 2">
          <a:extLst>
            <a:ext uri="{FF2B5EF4-FFF2-40B4-BE49-F238E27FC236}">
              <a16:creationId xmlns="" xmlns:a16="http://schemas.microsoft.com/office/drawing/2014/main" id="{35B98E6F-0B68-4EFA-A3FF-C8AAB747AA21}"/>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86" name="Text Box 1">
          <a:extLst>
            <a:ext uri="{FF2B5EF4-FFF2-40B4-BE49-F238E27FC236}">
              <a16:creationId xmlns="" xmlns:a16="http://schemas.microsoft.com/office/drawing/2014/main" id="{531B673E-4264-41FB-B430-84E606FBED44}"/>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7" name="Text Box 2">
          <a:extLst>
            <a:ext uri="{FF2B5EF4-FFF2-40B4-BE49-F238E27FC236}">
              <a16:creationId xmlns="" xmlns:a16="http://schemas.microsoft.com/office/drawing/2014/main" id="{9DE6CEC8-762E-4A30-8C59-7AE7F46A1BD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8" name="Text Box 2">
          <a:extLst>
            <a:ext uri="{FF2B5EF4-FFF2-40B4-BE49-F238E27FC236}">
              <a16:creationId xmlns="" xmlns:a16="http://schemas.microsoft.com/office/drawing/2014/main" id="{C05D8235-F62E-441F-A740-D15B00E1153B}"/>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89" name="Text Box 2">
          <a:extLst>
            <a:ext uri="{FF2B5EF4-FFF2-40B4-BE49-F238E27FC236}">
              <a16:creationId xmlns="" xmlns:a16="http://schemas.microsoft.com/office/drawing/2014/main" id="{54041A57-0010-4E44-B0F8-8C15F570FD5F}"/>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90" name="Text Box 2">
          <a:extLst>
            <a:ext uri="{FF2B5EF4-FFF2-40B4-BE49-F238E27FC236}">
              <a16:creationId xmlns="" xmlns:a16="http://schemas.microsoft.com/office/drawing/2014/main" id="{66BA3B83-AD0F-463E-8AC8-BEE3E66A2780}"/>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91" name="Text Box 2">
          <a:extLst>
            <a:ext uri="{FF2B5EF4-FFF2-40B4-BE49-F238E27FC236}">
              <a16:creationId xmlns="" xmlns:a16="http://schemas.microsoft.com/office/drawing/2014/main" id="{A3C5118C-3461-4781-A7A4-A79E9518F791}"/>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92" name="Text Box 2">
          <a:extLst>
            <a:ext uri="{FF2B5EF4-FFF2-40B4-BE49-F238E27FC236}">
              <a16:creationId xmlns="" xmlns:a16="http://schemas.microsoft.com/office/drawing/2014/main" id="{20D6F655-C7B3-48EC-9770-119595F0C799}"/>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93" name="Text Box 1">
          <a:extLst>
            <a:ext uri="{FF2B5EF4-FFF2-40B4-BE49-F238E27FC236}">
              <a16:creationId xmlns="" xmlns:a16="http://schemas.microsoft.com/office/drawing/2014/main" id="{0B56842D-F12A-4E17-9831-76CFDA896384}"/>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94" name="Text Box 1">
          <a:extLst>
            <a:ext uri="{FF2B5EF4-FFF2-40B4-BE49-F238E27FC236}">
              <a16:creationId xmlns="" xmlns:a16="http://schemas.microsoft.com/office/drawing/2014/main" id="{2D865F02-051B-4BC2-BBDF-CC1F98ECFBCF}"/>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95" name="Text Box 2">
          <a:extLst>
            <a:ext uri="{FF2B5EF4-FFF2-40B4-BE49-F238E27FC236}">
              <a16:creationId xmlns="" xmlns:a16="http://schemas.microsoft.com/office/drawing/2014/main" id="{3ACECFC6-92F9-4373-BF5F-EC7E4106836A}"/>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96" name="Text Box 1">
          <a:extLst>
            <a:ext uri="{FF2B5EF4-FFF2-40B4-BE49-F238E27FC236}">
              <a16:creationId xmlns="" xmlns:a16="http://schemas.microsoft.com/office/drawing/2014/main" id="{30B3F1F2-9441-42E9-882B-313E2602BAB9}"/>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97" name="Text Box 2">
          <a:extLst>
            <a:ext uri="{FF2B5EF4-FFF2-40B4-BE49-F238E27FC236}">
              <a16:creationId xmlns="" xmlns:a16="http://schemas.microsoft.com/office/drawing/2014/main" id="{6409EA82-CE3B-4A5A-B424-D19CD7ED3121}"/>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98" name="Text Box 1">
          <a:extLst>
            <a:ext uri="{FF2B5EF4-FFF2-40B4-BE49-F238E27FC236}">
              <a16:creationId xmlns="" xmlns:a16="http://schemas.microsoft.com/office/drawing/2014/main" id="{FF42C36A-15A9-4124-9338-E9EAEC49DA57}"/>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99" name="Text Box 2">
          <a:extLst>
            <a:ext uri="{FF2B5EF4-FFF2-40B4-BE49-F238E27FC236}">
              <a16:creationId xmlns="" xmlns:a16="http://schemas.microsoft.com/office/drawing/2014/main" id="{197EC69F-1845-4A09-964B-94661AE5F8A5}"/>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00" name="Text Box 2">
          <a:extLst>
            <a:ext uri="{FF2B5EF4-FFF2-40B4-BE49-F238E27FC236}">
              <a16:creationId xmlns="" xmlns:a16="http://schemas.microsoft.com/office/drawing/2014/main" id="{9BBAB64B-77E4-44AC-B0A0-FE92CF23A89B}"/>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01" name="Text Box 2">
          <a:extLst>
            <a:ext uri="{FF2B5EF4-FFF2-40B4-BE49-F238E27FC236}">
              <a16:creationId xmlns="" xmlns:a16="http://schemas.microsoft.com/office/drawing/2014/main" id="{F5367E4D-FA12-43BF-8D89-2DFA41C0937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02" name="Text Box 2">
          <a:extLst>
            <a:ext uri="{FF2B5EF4-FFF2-40B4-BE49-F238E27FC236}">
              <a16:creationId xmlns="" xmlns:a16="http://schemas.microsoft.com/office/drawing/2014/main" id="{DC948D82-58BE-4D18-8431-0B654ACA47CD}"/>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03" name="Text Box 1">
          <a:extLst>
            <a:ext uri="{FF2B5EF4-FFF2-40B4-BE49-F238E27FC236}">
              <a16:creationId xmlns="" xmlns:a16="http://schemas.microsoft.com/office/drawing/2014/main" id="{47F73C49-70D9-4038-91AE-888C7C42C16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04" name="Text Box 2">
          <a:extLst>
            <a:ext uri="{FF2B5EF4-FFF2-40B4-BE49-F238E27FC236}">
              <a16:creationId xmlns="" xmlns:a16="http://schemas.microsoft.com/office/drawing/2014/main" id="{AA396C11-FACA-4A74-8281-3DF6B626A9F3}"/>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05" name="Text Box 1">
          <a:extLst>
            <a:ext uri="{FF2B5EF4-FFF2-40B4-BE49-F238E27FC236}">
              <a16:creationId xmlns="" xmlns:a16="http://schemas.microsoft.com/office/drawing/2014/main" id="{99DA1C89-E317-4EA8-8167-37607966BFAF}"/>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06" name="Text Box 2">
          <a:extLst>
            <a:ext uri="{FF2B5EF4-FFF2-40B4-BE49-F238E27FC236}">
              <a16:creationId xmlns="" xmlns:a16="http://schemas.microsoft.com/office/drawing/2014/main" id="{CC5C8E7F-37E8-479E-9ED5-7D56A4DCAB1D}"/>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07" name="Text Box 1">
          <a:extLst>
            <a:ext uri="{FF2B5EF4-FFF2-40B4-BE49-F238E27FC236}">
              <a16:creationId xmlns="" xmlns:a16="http://schemas.microsoft.com/office/drawing/2014/main" id="{CA296552-4978-44D8-9007-7C0864D5818F}"/>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08" name="Text Box 2">
          <a:extLst>
            <a:ext uri="{FF2B5EF4-FFF2-40B4-BE49-F238E27FC236}">
              <a16:creationId xmlns="" xmlns:a16="http://schemas.microsoft.com/office/drawing/2014/main" id="{3B6A91CC-2BF0-442A-AF12-6548FE77E641}"/>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09" name="Text Box 1">
          <a:extLst>
            <a:ext uri="{FF2B5EF4-FFF2-40B4-BE49-F238E27FC236}">
              <a16:creationId xmlns="" xmlns:a16="http://schemas.microsoft.com/office/drawing/2014/main" id="{A309F1FD-4AF3-444D-A68A-609751C2487A}"/>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0" name="Text Box 2">
          <a:extLst>
            <a:ext uri="{FF2B5EF4-FFF2-40B4-BE49-F238E27FC236}">
              <a16:creationId xmlns="" xmlns:a16="http://schemas.microsoft.com/office/drawing/2014/main" id="{17518FEA-FE1C-4090-9C30-0F121E4C571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11" name="Text Box 1">
          <a:extLst>
            <a:ext uri="{FF2B5EF4-FFF2-40B4-BE49-F238E27FC236}">
              <a16:creationId xmlns="" xmlns:a16="http://schemas.microsoft.com/office/drawing/2014/main" id="{C74E7D9D-7047-49E2-8635-3B3D4C6DE86F}"/>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2" name="Text Box 2">
          <a:extLst>
            <a:ext uri="{FF2B5EF4-FFF2-40B4-BE49-F238E27FC236}">
              <a16:creationId xmlns="" xmlns:a16="http://schemas.microsoft.com/office/drawing/2014/main" id="{70E9271F-E160-4927-ADE6-2C4885B9058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13" name="Text Box 1">
          <a:extLst>
            <a:ext uri="{FF2B5EF4-FFF2-40B4-BE49-F238E27FC236}">
              <a16:creationId xmlns="" xmlns:a16="http://schemas.microsoft.com/office/drawing/2014/main" id="{3B409CC8-6BEE-44BF-B3F6-7D792ADB628A}"/>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4" name="Text Box 2">
          <a:extLst>
            <a:ext uri="{FF2B5EF4-FFF2-40B4-BE49-F238E27FC236}">
              <a16:creationId xmlns="" xmlns:a16="http://schemas.microsoft.com/office/drawing/2014/main" id="{8D527C0D-650D-43AE-A266-138803BF3E10}"/>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5" name="Text Box 2">
          <a:extLst>
            <a:ext uri="{FF2B5EF4-FFF2-40B4-BE49-F238E27FC236}">
              <a16:creationId xmlns="" xmlns:a16="http://schemas.microsoft.com/office/drawing/2014/main" id="{1D410CE4-121A-478D-87B0-16E1BE4D871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6" name="Text Box 2">
          <a:extLst>
            <a:ext uri="{FF2B5EF4-FFF2-40B4-BE49-F238E27FC236}">
              <a16:creationId xmlns="" xmlns:a16="http://schemas.microsoft.com/office/drawing/2014/main" id="{3596DB60-2D93-4FF0-B71B-2350D10718E9}"/>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17" name="Text Box 2">
          <a:extLst>
            <a:ext uri="{FF2B5EF4-FFF2-40B4-BE49-F238E27FC236}">
              <a16:creationId xmlns="" xmlns:a16="http://schemas.microsoft.com/office/drawing/2014/main" id="{C45A51CA-7030-48D5-9814-EAE7DF449E9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18" name="Text Box 2">
          <a:extLst>
            <a:ext uri="{FF2B5EF4-FFF2-40B4-BE49-F238E27FC236}">
              <a16:creationId xmlns="" xmlns:a16="http://schemas.microsoft.com/office/drawing/2014/main" id="{E868BBD9-8B5F-464E-8439-CBD4CF309488}"/>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19" name="Text Box 2">
          <a:extLst>
            <a:ext uri="{FF2B5EF4-FFF2-40B4-BE49-F238E27FC236}">
              <a16:creationId xmlns="" xmlns:a16="http://schemas.microsoft.com/office/drawing/2014/main" id="{EE06B5C9-D15A-4D93-81CE-F1C252449414}"/>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120" name="Text Box 1">
          <a:extLst>
            <a:ext uri="{FF2B5EF4-FFF2-40B4-BE49-F238E27FC236}">
              <a16:creationId xmlns="" xmlns:a16="http://schemas.microsoft.com/office/drawing/2014/main" id="{B857CB6A-EAB9-4D23-94F8-75A0938A3AC1}"/>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21" name="Text Box 1">
          <a:extLst>
            <a:ext uri="{FF2B5EF4-FFF2-40B4-BE49-F238E27FC236}">
              <a16:creationId xmlns="" xmlns:a16="http://schemas.microsoft.com/office/drawing/2014/main" id="{41F81982-DB20-49F5-901D-D7084252EBD8}"/>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2" name="Text Box 2">
          <a:extLst>
            <a:ext uri="{FF2B5EF4-FFF2-40B4-BE49-F238E27FC236}">
              <a16:creationId xmlns="" xmlns:a16="http://schemas.microsoft.com/office/drawing/2014/main" id="{F8223C4E-7F3E-4E0C-88ED-F8F6689416D5}"/>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23" name="Text Box 1">
          <a:extLst>
            <a:ext uri="{FF2B5EF4-FFF2-40B4-BE49-F238E27FC236}">
              <a16:creationId xmlns="" xmlns:a16="http://schemas.microsoft.com/office/drawing/2014/main" id="{2D7D7D53-CDB9-4BBB-8520-90ACE5DAA776}"/>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4" name="Text Box 2">
          <a:extLst>
            <a:ext uri="{FF2B5EF4-FFF2-40B4-BE49-F238E27FC236}">
              <a16:creationId xmlns="" xmlns:a16="http://schemas.microsoft.com/office/drawing/2014/main" id="{4230DA28-212B-41FC-AD0A-E533EF181C98}"/>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25" name="Text Box 1">
          <a:extLst>
            <a:ext uri="{FF2B5EF4-FFF2-40B4-BE49-F238E27FC236}">
              <a16:creationId xmlns="" xmlns:a16="http://schemas.microsoft.com/office/drawing/2014/main" id="{DB32F4FF-D18C-4AA8-8B4A-CC021BC17FAE}"/>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6" name="Text Box 2">
          <a:extLst>
            <a:ext uri="{FF2B5EF4-FFF2-40B4-BE49-F238E27FC236}">
              <a16:creationId xmlns="" xmlns:a16="http://schemas.microsoft.com/office/drawing/2014/main" id="{0C20F641-4C68-4A10-AD15-ECB82F53D4F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7" name="Text Box 2">
          <a:extLst>
            <a:ext uri="{FF2B5EF4-FFF2-40B4-BE49-F238E27FC236}">
              <a16:creationId xmlns="" xmlns:a16="http://schemas.microsoft.com/office/drawing/2014/main" id="{326ABC62-E2F8-49D1-BA2E-CF5D278D0CCB}"/>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8" name="Text Box 2">
          <a:extLst>
            <a:ext uri="{FF2B5EF4-FFF2-40B4-BE49-F238E27FC236}">
              <a16:creationId xmlns="" xmlns:a16="http://schemas.microsoft.com/office/drawing/2014/main" id="{BCD39C8C-772D-4962-BA5E-1DB2731214E3}"/>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29" name="Text Box 2">
          <a:extLst>
            <a:ext uri="{FF2B5EF4-FFF2-40B4-BE49-F238E27FC236}">
              <a16:creationId xmlns="" xmlns:a16="http://schemas.microsoft.com/office/drawing/2014/main" id="{4E6A3BA1-FAE9-4E42-9880-03F6B553755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30" name="Text Box 1">
          <a:extLst>
            <a:ext uri="{FF2B5EF4-FFF2-40B4-BE49-F238E27FC236}">
              <a16:creationId xmlns="" xmlns:a16="http://schemas.microsoft.com/office/drawing/2014/main" id="{8E736CDB-D7DC-43A4-80DD-549803DF28F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1" name="Text Box 2">
          <a:extLst>
            <a:ext uri="{FF2B5EF4-FFF2-40B4-BE49-F238E27FC236}">
              <a16:creationId xmlns="" xmlns:a16="http://schemas.microsoft.com/office/drawing/2014/main" id="{F4514000-5606-4EBA-9B1A-382A91C395B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32" name="Text Box 1">
          <a:extLst>
            <a:ext uri="{FF2B5EF4-FFF2-40B4-BE49-F238E27FC236}">
              <a16:creationId xmlns="" xmlns:a16="http://schemas.microsoft.com/office/drawing/2014/main" id="{21586AF1-32D7-472F-B999-C74CE044170B}"/>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3" name="Text Box 2">
          <a:extLst>
            <a:ext uri="{FF2B5EF4-FFF2-40B4-BE49-F238E27FC236}">
              <a16:creationId xmlns="" xmlns:a16="http://schemas.microsoft.com/office/drawing/2014/main" id="{417AA90A-5CF0-47E7-A66C-7C8DDA6D4C2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34" name="Text Box 1">
          <a:extLst>
            <a:ext uri="{FF2B5EF4-FFF2-40B4-BE49-F238E27FC236}">
              <a16:creationId xmlns="" xmlns:a16="http://schemas.microsoft.com/office/drawing/2014/main" id="{45C481E0-D085-4E7B-9801-655FE8C13834}"/>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5" name="Text Box 2">
          <a:extLst>
            <a:ext uri="{FF2B5EF4-FFF2-40B4-BE49-F238E27FC236}">
              <a16:creationId xmlns="" xmlns:a16="http://schemas.microsoft.com/office/drawing/2014/main" id="{E5D705A3-4067-4DDD-8898-DF33052B374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36" name="Text Box 1">
          <a:extLst>
            <a:ext uri="{FF2B5EF4-FFF2-40B4-BE49-F238E27FC236}">
              <a16:creationId xmlns="" xmlns:a16="http://schemas.microsoft.com/office/drawing/2014/main" id="{86D1F03E-AA08-4DA1-98DA-371AF4794C14}"/>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7" name="Text Box 2">
          <a:extLst>
            <a:ext uri="{FF2B5EF4-FFF2-40B4-BE49-F238E27FC236}">
              <a16:creationId xmlns="" xmlns:a16="http://schemas.microsoft.com/office/drawing/2014/main" id="{45373C30-782E-496E-97F0-65F58862BCF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38" name="Text Box 1">
          <a:extLst>
            <a:ext uri="{FF2B5EF4-FFF2-40B4-BE49-F238E27FC236}">
              <a16:creationId xmlns="" xmlns:a16="http://schemas.microsoft.com/office/drawing/2014/main" id="{DB60DCA1-920B-45D1-9796-890C91ECC821}"/>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39" name="Text Box 2">
          <a:extLst>
            <a:ext uri="{FF2B5EF4-FFF2-40B4-BE49-F238E27FC236}">
              <a16:creationId xmlns="" xmlns:a16="http://schemas.microsoft.com/office/drawing/2014/main" id="{49414DED-F73E-4DA5-B272-B73313B132E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40" name="Text Box 1">
          <a:extLst>
            <a:ext uri="{FF2B5EF4-FFF2-40B4-BE49-F238E27FC236}">
              <a16:creationId xmlns="" xmlns:a16="http://schemas.microsoft.com/office/drawing/2014/main" id="{F66557FE-248E-4F02-A5ED-6C1242C1931C}"/>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1" name="Text Box 2">
          <a:extLst>
            <a:ext uri="{FF2B5EF4-FFF2-40B4-BE49-F238E27FC236}">
              <a16:creationId xmlns="" xmlns:a16="http://schemas.microsoft.com/office/drawing/2014/main" id="{CD118D9A-D235-457F-B168-8B82791CDCB1}"/>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2" name="Text Box 2">
          <a:extLst>
            <a:ext uri="{FF2B5EF4-FFF2-40B4-BE49-F238E27FC236}">
              <a16:creationId xmlns="" xmlns:a16="http://schemas.microsoft.com/office/drawing/2014/main" id="{B3AF6198-D6FC-4ACE-AB74-56A6BE0DB104}"/>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3" name="Text Box 2">
          <a:extLst>
            <a:ext uri="{FF2B5EF4-FFF2-40B4-BE49-F238E27FC236}">
              <a16:creationId xmlns="" xmlns:a16="http://schemas.microsoft.com/office/drawing/2014/main" id="{0C240B4A-B1C1-4A79-9F35-0B55C3B24C2B}"/>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4" name="Text Box 2">
          <a:extLst>
            <a:ext uri="{FF2B5EF4-FFF2-40B4-BE49-F238E27FC236}">
              <a16:creationId xmlns="" xmlns:a16="http://schemas.microsoft.com/office/drawing/2014/main" id="{45154747-F706-4754-BE15-4CF261D5282C}"/>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45" name="Text Box 2">
          <a:extLst>
            <a:ext uri="{FF2B5EF4-FFF2-40B4-BE49-F238E27FC236}">
              <a16:creationId xmlns="" xmlns:a16="http://schemas.microsoft.com/office/drawing/2014/main" id="{52F8FC7E-7E8C-454A-9173-2A6ED594EF34}"/>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46" name="Text Box 2">
          <a:extLst>
            <a:ext uri="{FF2B5EF4-FFF2-40B4-BE49-F238E27FC236}">
              <a16:creationId xmlns="" xmlns:a16="http://schemas.microsoft.com/office/drawing/2014/main" id="{76600CE6-1F4B-42C4-ADDF-A2BCF765835E}"/>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147" name="Text Box 1">
          <a:extLst>
            <a:ext uri="{FF2B5EF4-FFF2-40B4-BE49-F238E27FC236}">
              <a16:creationId xmlns="" xmlns:a16="http://schemas.microsoft.com/office/drawing/2014/main" id="{CEB2C22C-AA8F-4B69-ABAE-C40198C7291A}"/>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48" name="Text Box 1">
          <a:extLst>
            <a:ext uri="{FF2B5EF4-FFF2-40B4-BE49-F238E27FC236}">
              <a16:creationId xmlns="" xmlns:a16="http://schemas.microsoft.com/office/drawing/2014/main" id="{942633B9-A95E-4BF6-90CC-589F2339E155}"/>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49" name="Text Box 2">
          <a:extLst>
            <a:ext uri="{FF2B5EF4-FFF2-40B4-BE49-F238E27FC236}">
              <a16:creationId xmlns="" xmlns:a16="http://schemas.microsoft.com/office/drawing/2014/main" id="{10F9822C-735A-41B0-81E7-5FFFE75F476E}"/>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50" name="Text Box 1">
          <a:extLst>
            <a:ext uri="{FF2B5EF4-FFF2-40B4-BE49-F238E27FC236}">
              <a16:creationId xmlns="" xmlns:a16="http://schemas.microsoft.com/office/drawing/2014/main" id="{C9D67350-F0DD-4AF4-A47F-DD4E8F63C185}"/>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1" name="Text Box 2">
          <a:extLst>
            <a:ext uri="{FF2B5EF4-FFF2-40B4-BE49-F238E27FC236}">
              <a16:creationId xmlns="" xmlns:a16="http://schemas.microsoft.com/office/drawing/2014/main" id="{D0DF4C48-A4C3-49DB-8836-81D435082EC3}"/>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1491615</xdr:colOff>
      <xdr:row>48</xdr:row>
      <xdr:rowOff>200026</xdr:rowOff>
    </xdr:to>
    <xdr:sp macro="" textlink="">
      <xdr:nvSpPr>
        <xdr:cNvPr id="152" name="Text Box 1">
          <a:extLst>
            <a:ext uri="{FF2B5EF4-FFF2-40B4-BE49-F238E27FC236}">
              <a16:creationId xmlns="" xmlns:a16="http://schemas.microsoft.com/office/drawing/2014/main" id="{3B043A3E-F94D-4352-ABFD-1E390DA2C939}"/>
            </a:ext>
          </a:extLst>
        </xdr:cNvPr>
        <xdr:cNvSpPr txBox="1">
          <a:spLocks noChangeArrowheads="1"/>
        </xdr:cNvSpPr>
      </xdr:nvSpPr>
      <xdr:spPr bwMode="auto">
        <a:xfrm>
          <a:off x="2714625" y="103089075"/>
          <a:ext cx="1524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3" name="Text Box 2">
          <a:extLst>
            <a:ext uri="{FF2B5EF4-FFF2-40B4-BE49-F238E27FC236}">
              <a16:creationId xmlns="" xmlns:a16="http://schemas.microsoft.com/office/drawing/2014/main" id="{0D685DBF-9C77-4E4E-BACA-B3CABC062D1A}"/>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4" name="Text Box 2">
          <a:extLst>
            <a:ext uri="{FF2B5EF4-FFF2-40B4-BE49-F238E27FC236}">
              <a16:creationId xmlns="" xmlns:a16="http://schemas.microsoft.com/office/drawing/2014/main" id="{26D1B6E8-F554-4D68-B37A-F2F3CC044503}"/>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5" name="Text Box 2">
          <a:extLst>
            <a:ext uri="{FF2B5EF4-FFF2-40B4-BE49-F238E27FC236}">
              <a16:creationId xmlns="" xmlns:a16="http://schemas.microsoft.com/office/drawing/2014/main" id="{1E7C523A-D42E-4C2D-AA6A-1AD4E421F8ED}"/>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2838170</xdr:colOff>
      <xdr:row>48</xdr:row>
      <xdr:rowOff>200026</xdr:rowOff>
    </xdr:to>
    <xdr:sp macro="" textlink="">
      <xdr:nvSpPr>
        <xdr:cNvPr id="156" name="Text Box 2">
          <a:extLst>
            <a:ext uri="{FF2B5EF4-FFF2-40B4-BE49-F238E27FC236}">
              <a16:creationId xmlns="" xmlns:a16="http://schemas.microsoft.com/office/drawing/2014/main" id="{6C142124-B84F-4DF5-9C9D-131EFC755687}"/>
            </a:ext>
          </a:extLst>
        </xdr:cNvPr>
        <xdr:cNvSpPr txBox="1">
          <a:spLocks noChangeArrowheads="1"/>
        </xdr:cNvSpPr>
      </xdr:nvSpPr>
      <xdr:spPr bwMode="auto">
        <a:xfrm>
          <a:off x="3333750" y="103089075"/>
          <a:ext cx="74267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57" name="Text Box 1">
          <a:extLst>
            <a:ext uri="{FF2B5EF4-FFF2-40B4-BE49-F238E27FC236}">
              <a16:creationId xmlns="" xmlns:a16="http://schemas.microsoft.com/office/drawing/2014/main" id="{B5220BED-924F-43E6-8E79-7EEE11A20353}"/>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58" name="Text Box 2">
          <a:extLst>
            <a:ext uri="{FF2B5EF4-FFF2-40B4-BE49-F238E27FC236}">
              <a16:creationId xmlns="" xmlns:a16="http://schemas.microsoft.com/office/drawing/2014/main" id="{CB2A0EA8-A455-4F5F-96A0-87861AF99E0D}"/>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59" name="Text Box 1">
          <a:extLst>
            <a:ext uri="{FF2B5EF4-FFF2-40B4-BE49-F238E27FC236}">
              <a16:creationId xmlns="" xmlns:a16="http://schemas.microsoft.com/office/drawing/2014/main" id="{17D98702-8312-4C22-A14E-E8E83F033467}"/>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0" name="Text Box 2">
          <a:extLst>
            <a:ext uri="{FF2B5EF4-FFF2-40B4-BE49-F238E27FC236}">
              <a16:creationId xmlns="" xmlns:a16="http://schemas.microsoft.com/office/drawing/2014/main" id="{3E7CAF61-DDF8-4E29-BD5B-BBB0F2D7CE0A}"/>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61" name="Text Box 1">
          <a:extLst>
            <a:ext uri="{FF2B5EF4-FFF2-40B4-BE49-F238E27FC236}">
              <a16:creationId xmlns="" xmlns:a16="http://schemas.microsoft.com/office/drawing/2014/main" id="{922AB5BB-16F5-4626-BCC1-F55E2093DBD4}"/>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2" name="Text Box 2">
          <a:extLst>
            <a:ext uri="{FF2B5EF4-FFF2-40B4-BE49-F238E27FC236}">
              <a16:creationId xmlns="" xmlns:a16="http://schemas.microsoft.com/office/drawing/2014/main" id="{9A5BC120-4131-4520-A2A2-59BC4AEE53D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63" name="Text Box 1">
          <a:extLst>
            <a:ext uri="{FF2B5EF4-FFF2-40B4-BE49-F238E27FC236}">
              <a16:creationId xmlns="" xmlns:a16="http://schemas.microsoft.com/office/drawing/2014/main" id="{3EC2DA9A-158A-4BC0-85C9-94D34AC9A7DA}"/>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4" name="Text Box 2">
          <a:extLst>
            <a:ext uri="{FF2B5EF4-FFF2-40B4-BE49-F238E27FC236}">
              <a16:creationId xmlns="" xmlns:a16="http://schemas.microsoft.com/office/drawing/2014/main" id="{996CCF2C-EACB-401D-A884-9F9FE9C5EAA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65" name="Text Box 1">
          <a:extLst>
            <a:ext uri="{FF2B5EF4-FFF2-40B4-BE49-F238E27FC236}">
              <a16:creationId xmlns="" xmlns:a16="http://schemas.microsoft.com/office/drawing/2014/main" id="{43B45303-655E-4E25-9CE6-5CB76A15817D}"/>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6" name="Text Box 2">
          <a:extLst>
            <a:ext uri="{FF2B5EF4-FFF2-40B4-BE49-F238E27FC236}">
              <a16:creationId xmlns="" xmlns:a16="http://schemas.microsoft.com/office/drawing/2014/main" id="{F2E1FA04-8466-43A7-9FFA-40724B8CA3B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67" name="Text Box 1">
          <a:extLst>
            <a:ext uri="{FF2B5EF4-FFF2-40B4-BE49-F238E27FC236}">
              <a16:creationId xmlns="" xmlns:a16="http://schemas.microsoft.com/office/drawing/2014/main" id="{6BD1C608-1F3D-4581-898C-DCB5D10AF1A9}"/>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8" name="Text Box 2">
          <a:extLst>
            <a:ext uri="{FF2B5EF4-FFF2-40B4-BE49-F238E27FC236}">
              <a16:creationId xmlns="" xmlns:a16="http://schemas.microsoft.com/office/drawing/2014/main" id="{7F299770-D775-4D86-AA91-C8EE081FDB7D}"/>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69" name="Text Box 2">
          <a:extLst>
            <a:ext uri="{FF2B5EF4-FFF2-40B4-BE49-F238E27FC236}">
              <a16:creationId xmlns="" xmlns:a16="http://schemas.microsoft.com/office/drawing/2014/main" id="{27E4F460-3F88-45C9-815C-E765EDA4962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70" name="Text Box 2">
          <a:extLst>
            <a:ext uri="{FF2B5EF4-FFF2-40B4-BE49-F238E27FC236}">
              <a16:creationId xmlns="" xmlns:a16="http://schemas.microsoft.com/office/drawing/2014/main" id="{9863E30F-E98A-4215-90F0-54E3222AF5C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71" name="Text Box 2">
          <a:extLst>
            <a:ext uri="{FF2B5EF4-FFF2-40B4-BE49-F238E27FC236}">
              <a16:creationId xmlns="" xmlns:a16="http://schemas.microsoft.com/office/drawing/2014/main" id="{EB912821-81C0-49CA-92EA-693DF7329F53}"/>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72" name="Text Box 2">
          <a:extLst>
            <a:ext uri="{FF2B5EF4-FFF2-40B4-BE49-F238E27FC236}">
              <a16:creationId xmlns="" xmlns:a16="http://schemas.microsoft.com/office/drawing/2014/main" id="{80ABF179-1E00-4901-8749-E5CF65976D2F}"/>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73" name="Text Box 2">
          <a:extLst>
            <a:ext uri="{FF2B5EF4-FFF2-40B4-BE49-F238E27FC236}">
              <a16:creationId xmlns="" xmlns:a16="http://schemas.microsoft.com/office/drawing/2014/main" id="{C800A1FF-FFD3-48E5-B8D3-57F581578EE5}"/>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174" name="Text Box 1">
          <a:extLst>
            <a:ext uri="{FF2B5EF4-FFF2-40B4-BE49-F238E27FC236}">
              <a16:creationId xmlns="" xmlns:a16="http://schemas.microsoft.com/office/drawing/2014/main" id="{B450D26F-2746-47D2-A1C3-EACE35280A66}"/>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75" name="Text Box 1">
          <a:extLst>
            <a:ext uri="{FF2B5EF4-FFF2-40B4-BE49-F238E27FC236}">
              <a16:creationId xmlns="" xmlns:a16="http://schemas.microsoft.com/office/drawing/2014/main" id="{38C2150B-D19F-4FD1-BF4D-118541C387B4}"/>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76" name="Text Box 2">
          <a:extLst>
            <a:ext uri="{FF2B5EF4-FFF2-40B4-BE49-F238E27FC236}">
              <a16:creationId xmlns="" xmlns:a16="http://schemas.microsoft.com/office/drawing/2014/main" id="{56C10067-D36E-4B16-86D2-6FDFD49EE28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77" name="Text Box 1">
          <a:extLst>
            <a:ext uri="{FF2B5EF4-FFF2-40B4-BE49-F238E27FC236}">
              <a16:creationId xmlns="" xmlns:a16="http://schemas.microsoft.com/office/drawing/2014/main" id="{054DBEE7-1098-4EC4-8B08-4C87977BF895}"/>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78" name="Text Box 2">
          <a:extLst>
            <a:ext uri="{FF2B5EF4-FFF2-40B4-BE49-F238E27FC236}">
              <a16:creationId xmlns="" xmlns:a16="http://schemas.microsoft.com/office/drawing/2014/main" id="{ECE256D6-C04B-4197-AE75-888DF7851467}"/>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79" name="Text Box 1">
          <a:extLst>
            <a:ext uri="{FF2B5EF4-FFF2-40B4-BE49-F238E27FC236}">
              <a16:creationId xmlns="" xmlns:a16="http://schemas.microsoft.com/office/drawing/2014/main" id="{BF8D38CB-B1C8-44B8-AB8E-2FEC5ACB0A71}"/>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0" name="Text Box 2">
          <a:extLst>
            <a:ext uri="{FF2B5EF4-FFF2-40B4-BE49-F238E27FC236}">
              <a16:creationId xmlns="" xmlns:a16="http://schemas.microsoft.com/office/drawing/2014/main" id="{8FEA9A7B-42EF-4202-8C3D-7E005A192C28}"/>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1" name="Text Box 2">
          <a:extLst>
            <a:ext uri="{FF2B5EF4-FFF2-40B4-BE49-F238E27FC236}">
              <a16:creationId xmlns="" xmlns:a16="http://schemas.microsoft.com/office/drawing/2014/main" id="{B5919AEA-3B2A-47DA-80F9-B44D32A04BB1}"/>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2" name="Text Box 2">
          <a:extLst>
            <a:ext uri="{FF2B5EF4-FFF2-40B4-BE49-F238E27FC236}">
              <a16:creationId xmlns="" xmlns:a16="http://schemas.microsoft.com/office/drawing/2014/main" id="{CDD3BBE5-AF89-42AA-B495-99F261DAA25F}"/>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3" name="Text Box 2">
          <a:extLst>
            <a:ext uri="{FF2B5EF4-FFF2-40B4-BE49-F238E27FC236}">
              <a16:creationId xmlns="" xmlns:a16="http://schemas.microsoft.com/office/drawing/2014/main" id="{2DF58423-B2C7-40F5-9405-B02EAF99E26D}"/>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84" name="Text Box 1">
          <a:extLst>
            <a:ext uri="{FF2B5EF4-FFF2-40B4-BE49-F238E27FC236}">
              <a16:creationId xmlns="" xmlns:a16="http://schemas.microsoft.com/office/drawing/2014/main" id="{191BAFCC-15E6-4A69-9D03-0934562EAE7F}"/>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5" name="Text Box 2">
          <a:extLst>
            <a:ext uri="{FF2B5EF4-FFF2-40B4-BE49-F238E27FC236}">
              <a16:creationId xmlns="" xmlns:a16="http://schemas.microsoft.com/office/drawing/2014/main" id="{3827FD7C-DD4E-4D61-A7D7-A1D3DDD6B4DE}"/>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86" name="Text Box 1">
          <a:extLst>
            <a:ext uri="{FF2B5EF4-FFF2-40B4-BE49-F238E27FC236}">
              <a16:creationId xmlns="" xmlns:a16="http://schemas.microsoft.com/office/drawing/2014/main" id="{C8B39E82-4A40-43AA-AD95-78A26A7C2B35}"/>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7" name="Text Box 2">
          <a:extLst>
            <a:ext uri="{FF2B5EF4-FFF2-40B4-BE49-F238E27FC236}">
              <a16:creationId xmlns="" xmlns:a16="http://schemas.microsoft.com/office/drawing/2014/main" id="{18BBA2A4-62D6-4D99-B2BB-B70C19C4660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88" name="Text Box 1">
          <a:extLst>
            <a:ext uri="{FF2B5EF4-FFF2-40B4-BE49-F238E27FC236}">
              <a16:creationId xmlns="" xmlns:a16="http://schemas.microsoft.com/office/drawing/2014/main" id="{15CC3344-C760-443D-841E-B264738260EB}"/>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89" name="Text Box 2">
          <a:extLst>
            <a:ext uri="{FF2B5EF4-FFF2-40B4-BE49-F238E27FC236}">
              <a16:creationId xmlns="" xmlns:a16="http://schemas.microsoft.com/office/drawing/2014/main" id="{4006EEFC-DCCC-4B38-BBAD-8476C0024478}"/>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90" name="Text Box 1">
          <a:extLst>
            <a:ext uri="{FF2B5EF4-FFF2-40B4-BE49-F238E27FC236}">
              <a16:creationId xmlns="" xmlns:a16="http://schemas.microsoft.com/office/drawing/2014/main" id="{38471912-628C-48FD-9647-B9BF6F1CD412}"/>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1" name="Text Box 2">
          <a:extLst>
            <a:ext uri="{FF2B5EF4-FFF2-40B4-BE49-F238E27FC236}">
              <a16:creationId xmlns="" xmlns:a16="http://schemas.microsoft.com/office/drawing/2014/main" id="{FF234A7D-E8AE-44E9-ABB8-E9A080B08308}"/>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92" name="Text Box 1">
          <a:extLst>
            <a:ext uri="{FF2B5EF4-FFF2-40B4-BE49-F238E27FC236}">
              <a16:creationId xmlns="" xmlns:a16="http://schemas.microsoft.com/office/drawing/2014/main" id="{0A0F8792-3B1B-443B-8267-64551891FF9D}"/>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3" name="Text Box 2">
          <a:extLst>
            <a:ext uri="{FF2B5EF4-FFF2-40B4-BE49-F238E27FC236}">
              <a16:creationId xmlns="" xmlns:a16="http://schemas.microsoft.com/office/drawing/2014/main" id="{EC9D71C0-E4C1-4607-A948-FA6141461AF6}"/>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194" name="Text Box 1">
          <a:extLst>
            <a:ext uri="{FF2B5EF4-FFF2-40B4-BE49-F238E27FC236}">
              <a16:creationId xmlns="" xmlns:a16="http://schemas.microsoft.com/office/drawing/2014/main" id="{3A7F9D89-0238-4CCB-B727-FA1B26A3BEED}"/>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5" name="Text Box 2">
          <a:extLst>
            <a:ext uri="{FF2B5EF4-FFF2-40B4-BE49-F238E27FC236}">
              <a16:creationId xmlns="" xmlns:a16="http://schemas.microsoft.com/office/drawing/2014/main" id="{08D35BE2-C109-4696-AEF7-881409DE2741}"/>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6" name="Text Box 2">
          <a:extLst>
            <a:ext uri="{FF2B5EF4-FFF2-40B4-BE49-F238E27FC236}">
              <a16:creationId xmlns="" xmlns:a16="http://schemas.microsoft.com/office/drawing/2014/main" id="{D29DEA82-C5AF-4D7D-8F05-03AE1E176FD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7" name="Text Box 2">
          <a:extLst>
            <a:ext uri="{FF2B5EF4-FFF2-40B4-BE49-F238E27FC236}">
              <a16:creationId xmlns="" xmlns:a16="http://schemas.microsoft.com/office/drawing/2014/main" id="{A7F995F3-25BD-437B-A310-3115D258B79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198" name="Text Box 2">
          <a:extLst>
            <a:ext uri="{FF2B5EF4-FFF2-40B4-BE49-F238E27FC236}">
              <a16:creationId xmlns="" xmlns:a16="http://schemas.microsoft.com/office/drawing/2014/main" id="{4CB574BA-961F-4031-852B-1EA2B2299BAA}"/>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199" name="Text Box 2">
          <a:extLst>
            <a:ext uri="{FF2B5EF4-FFF2-40B4-BE49-F238E27FC236}">
              <a16:creationId xmlns="" xmlns:a16="http://schemas.microsoft.com/office/drawing/2014/main" id="{9862EF01-0E98-4184-8275-BC561E4E2220}"/>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171450</xdr:colOff>
      <xdr:row>48</xdr:row>
      <xdr:rowOff>0</xdr:rowOff>
    </xdr:from>
    <xdr:to>
      <xdr:col>1</xdr:col>
      <xdr:colOff>247650</xdr:colOff>
      <xdr:row>48</xdr:row>
      <xdr:rowOff>200026</xdr:rowOff>
    </xdr:to>
    <xdr:sp macro="" textlink="">
      <xdr:nvSpPr>
        <xdr:cNvPr id="200" name="Text Box 2">
          <a:extLst>
            <a:ext uri="{FF2B5EF4-FFF2-40B4-BE49-F238E27FC236}">
              <a16:creationId xmlns="" xmlns:a16="http://schemas.microsoft.com/office/drawing/2014/main" id="{000BD79C-39B6-472C-BCF0-99536CB9F368}"/>
            </a:ext>
          </a:extLst>
        </xdr:cNvPr>
        <xdr:cNvSpPr txBox="1">
          <a:spLocks noChangeArrowheads="1"/>
        </xdr:cNvSpPr>
      </xdr:nvSpPr>
      <xdr:spPr bwMode="auto">
        <a:xfrm>
          <a:off x="1409700"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48</xdr:row>
      <xdr:rowOff>0</xdr:rowOff>
    </xdr:from>
    <xdr:to>
      <xdr:col>1</xdr:col>
      <xdr:colOff>276225</xdr:colOff>
      <xdr:row>48</xdr:row>
      <xdr:rowOff>200026</xdr:rowOff>
    </xdr:to>
    <xdr:sp macro="" textlink="">
      <xdr:nvSpPr>
        <xdr:cNvPr id="201" name="Text Box 1">
          <a:extLst>
            <a:ext uri="{FF2B5EF4-FFF2-40B4-BE49-F238E27FC236}">
              <a16:creationId xmlns="" xmlns:a16="http://schemas.microsoft.com/office/drawing/2014/main" id="{7B78AACF-0AB2-4FDC-8000-EFC8BD635DCC}"/>
            </a:ext>
          </a:extLst>
        </xdr:cNvPr>
        <xdr:cNvSpPr txBox="1">
          <a:spLocks noChangeArrowheads="1"/>
        </xdr:cNvSpPr>
      </xdr:nvSpPr>
      <xdr:spPr bwMode="auto">
        <a:xfrm>
          <a:off x="1438275" y="103089075"/>
          <a:ext cx="7620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202" name="Text Box 1">
          <a:extLst>
            <a:ext uri="{FF2B5EF4-FFF2-40B4-BE49-F238E27FC236}">
              <a16:creationId xmlns="" xmlns:a16="http://schemas.microsoft.com/office/drawing/2014/main" id="{76504DDF-2EDA-4266-8557-7470BC04F46A}"/>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03" name="Text Box 2">
          <a:extLst>
            <a:ext uri="{FF2B5EF4-FFF2-40B4-BE49-F238E27FC236}">
              <a16:creationId xmlns="" xmlns:a16="http://schemas.microsoft.com/office/drawing/2014/main" id="{5826BA37-D567-40F0-BECE-122CE9782D18}"/>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204" name="Text Box 1">
          <a:extLst>
            <a:ext uri="{FF2B5EF4-FFF2-40B4-BE49-F238E27FC236}">
              <a16:creationId xmlns="" xmlns:a16="http://schemas.microsoft.com/office/drawing/2014/main" id="{96C05DC4-3483-488A-AA29-ED485C730C8D}"/>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05" name="Text Box 2">
          <a:extLst>
            <a:ext uri="{FF2B5EF4-FFF2-40B4-BE49-F238E27FC236}">
              <a16:creationId xmlns="" xmlns:a16="http://schemas.microsoft.com/office/drawing/2014/main" id="{4925D0DA-5C45-4185-AED4-A462DC942662}"/>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1476375</xdr:colOff>
      <xdr:row>48</xdr:row>
      <xdr:rowOff>0</xdr:rowOff>
    </xdr:from>
    <xdr:to>
      <xdr:col>1</xdr:col>
      <xdr:colOff>1476375</xdr:colOff>
      <xdr:row>48</xdr:row>
      <xdr:rowOff>200026</xdr:rowOff>
    </xdr:to>
    <xdr:sp macro="" textlink="">
      <xdr:nvSpPr>
        <xdr:cNvPr id="206" name="Text Box 1">
          <a:extLst>
            <a:ext uri="{FF2B5EF4-FFF2-40B4-BE49-F238E27FC236}">
              <a16:creationId xmlns="" xmlns:a16="http://schemas.microsoft.com/office/drawing/2014/main" id="{4875738F-E294-438D-8817-B13CA9C738DF}"/>
            </a:ext>
          </a:extLst>
        </xdr:cNvPr>
        <xdr:cNvSpPr txBox="1">
          <a:spLocks noChangeArrowheads="1"/>
        </xdr:cNvSpPr>
      </xdr:nvSpPr>
      <xdr:spPr bwMode="auto">
        <a:xfrm>
          <a:off x="2714625" y="103089075"/>
          <a:ext cx="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07" name="Text Box 2">
          <a:extLst>
            <a:ext uri="{FF2B5EF4-FFF2-40B4-BE49-F238E27FC236}">
              <a16:creationId xmlns="" xmlns:a16="http://schemas.microsoft.com/office/drawing/2014/main" id="{64E7F221-9240-4B57-AA8C-1F322F7288D7}"/>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08" name="Text Box 2">
          <a:extLst>
            <a:ext uri="{FF2B5EF4-FFF2-40B4-BE49-F238E27FC236}">
              <a16:creationId xmlns="" xmlns:a16="http://schemas.microsoft.com/office/drawing/2014/main" id="{F5BE25B4-70F8-4590-8437-26A62919E5A9}"/>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09" name="Text Box 2">
          <a:extLst>
            <a:ext uri="{FF2B5EF4-FFF2-40B4-BE49-F238E27FC236}">
              <a16:creationId xmlns="" xmlns:a16="http://schemas.microsoft.com/office/drawing/2014/main" id="{D32A9D03-16A4-4435-B2DE-8E342AC8E0CA}"/>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2095500</xdr:colOff>
      <xdr:row>48</xdr:row>
      <xdr:rowOff>0</xdr:rowOff>
    </xdr:from>
    <xdr:to>
      <xdr:col>1</xdr:col>
      <xdr:colOff>2835930</xdr:colOff>
      <xdr:row>48</xdr:row>
      <xdr:rowOff>200026</xdr:rowOff>
    </xdr:to>
    <xdr:sp macro="" textlink="">
      <xdr:nvSpPr>
        <xdr:cNvPr id="210" name="Text Box 2">
          <a:extLst>
            <a:ext uri="{FF2B5EF4-FFF2-40B4-BE49-F238E27FC236}">
              <a16:creationId xmlns="" xmlns:a16="http://schemas.microsoft.com/office/drawing/2014/main" id="{C4FF445E-39D9-4A5A-B838-6F9CB7CCE2EC}"/>
            </a:ext>
          </a:extLst>
        </xdr:cNvPr>
        <xdr:cNvSpPr txBox="1">
          <a:spLocks noChangeArrowheads="1"/>
        </xdr:cNvSpPr>
      </xdr:nvSpPr>
      <xdr:spPr bwMode="auto">
        <a:xfrm>
          <a:off x="3333750" y="103089075"/>
          <a:ext cx="740430" cy="200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U15"/>
  <sheetViews>
    <sheetView workbookViewId="0">
      <selection activeCell="B10" sqref="B10:N10"/>
    </sheetView>
  </sheetViews>
  <sheetFormatPr defaultRowHeight="15"/>
  <cols>
    <col min="1" max="1" width="5.140625" customWidth="1"/>
    <col min="2" max="15" width="9.28515625" customWidth="1"/>
    <col min="16" max="16" width="5.140625" customWidth="1"/>
  </cols>
  <sheetData>
    <row r="1" spans="1:21" s="123" customFormat="1" ht="19.5" customHeight="1" thickTop="1" thickBot="1">
      <c r="A1" s="585"/>
      <c r="B1" s="588"/>
      <c r="C1" s="588"/>
      <c r="D1" s="588"/>
      <c r="E1" s="588"/>
      <c r="F1" s="588"/>
      <c r="G1" s="588"/>
      <c r="H1" s="588"/>
      <c r="I1" s="588"/>
      <c r="J1" s="588"/>
      <c r="K1" s="588"/>
      <c r="L1" s="588"/>
      <c r="M1" s="588"/>
      <c r="N1" s="588"/>
      <c r="O1" s="588"/>
      <c r="P1" s="589"/>
    </row>
    <row r="2" spans="1:21" s="123" customFormat="1" ht="37.5" customHeight="1">
      <c r="A2" s="586"/>
      <c r="B2" s="595"/>
      <c r="C2" s="596"/>
      <c r="D2" s="596"/>
      <c r="E2" s="596"/>
      <c r="F2" s="596"/>
      <c r="G2" s="596"/>
      <c r="H2" s="596"/>
      <c r="I2" s="596"/>
      <c r="J2" s="596"/>
      <c r="K2" s="596"/>
      <c r="L2" s="596"/>
      <c r="M2" s="596"/>
      <c r="N2" s="596"/>
      <c r="O2" s="597"/>
      <c r="P2" s="590"/>
    </row>
    <row r="3" spans="1:21" s="123" customFormat="1" ht="29.25" customHeight="1">
      <c r="A3" s="586"/>
      <c r="B3" s="130"/>
      <c r="C3" s="129"/>
      <c r="D3" s="129"/>
      <c r="E3" s="129"/>
      <c r="F3" s="129"/>
      <c r="G3" s="129"/>
      <c r="H3" s="129"/>
      <c r="I3" s="139"/>
      <c r="J3" s="139"/>
      <c r="K3" s="139"/>
      <c r="L3" s="139"/>
      <c r="M3" s="139"/>
      <c r="N3" s="139"/>
      <c r="O3" s="131"/>
      <c r="P3" s="590"/>
    </row>
    <row r="4" spans="1:21" s="123" customFormat="1" ht="29.25" customHeight="1">
      <c r="A4" s="586"/>
      <c r="B4" s="130"/>
      <c r="C4" s="129"/>
      <c r="D4" s="129"/>
      <c r="E4" s="129"/>
      <c r="F4" s="129"/>
      <c r="G4" s="129"/>
      <c r="H4" s="129"/>
      <c r="I4" s="124"/>
      <c r="J4" s="124"/>
      <c r="K4" s="124"/>
      <c r="L4" s="124"/>
      <c r="M4" s="124"/>
      <c r="N4" s="124"/>
      <c r="O4" s="131"/>
      <c r="P4" s="590"/>
    </row>
    <row r="5" spans="1:21" s="123" customFormat="1" ht="29.25" customHeight="1">
      <c r="A5" s="586"/>
      <c r="B5" s="130"/>
      <c r="C5" s="129"/>
      <c r="D5" s="129"/>
      <c r="E5" s="129"/>
      <c r="F5" s="129"/>
      <c r="G5" s="129"/>
      <c r="H5" s="129"/>
      <c r="I5" s="140"/>
      <c r="J5" s="140"/>
      <c r="K5" s="140"/>
      <c r="L5" s="140"/>
      <c r="M5" s="140"/>
      <c r="N5" s="140"/>
      <c r="O5" s="131"/>
      <c r="P5" s="590"/>
    </row>
    <row r="6" spans="1:21" s="123" customFormat="1" ht="29.25" customHeight="1">
      <c r="A6" s="586"/>
      <c r="B6" s="130"/>
      <c r="C6" s="129"/>
      <c r="D6" s="129"/>
      <c r="E6" s="129"/>
      <c r="F6" s="129"/>
      <c r="G6" s="129"/>
      <c r="H6" s="129"/>
      <c r="I6" s="124"/>
      <c r="J6" s="124"/>
      <c r="K6" s="124"/>
      <c r="L6" s="124"/>
      <c r="M6" s="124"/>
      <c r="N6" s="124"/>
      <c r="O6" s="131"/>
      <c r="P6" s="590"/>
      <c r="T6" s="124"/>
    </row>
    <row r="7" spans="1:21" s="123" customFormat="1" ht="29.25" customHeight="1">
      <c r="A7" s="586"/>
      <c r="B7" s="130"/>
      <c r="C7" s="129"/>
      <c r="D7" s="129"/>
      <c r="E7" s="129"/>
      <c r="F7" s="129"/>
      <c r="G7" s="129"/>
      <c r="H7" s="129"/>
      <c r="I7" s="138"/>
      <c r="J7" s="138"/>
      <c r="K7" s="138"/>
      <c r="L7" s="138"/>
      <c r="M7" s="138"/>
      <c r="N7" s="138"/>
      <c r="O7" s="131"/>
      <c r="P7" s="590"/>
      <c r="T7" s="124"/>
    </row>
    <row r="8" spans="1:21" s="123" customFormat="1" ht="102.75" customHeight="1">
      <c r="A8" s="586"/>
      <c r="B8" s="785" t="s">
        <v>286</v>
      </c>
      <c r="C8" s="786"/>
      <c r="D8" s="786"/>
      <c r="E8" s="786"/>
      <c r="F8" s="786"/>
      <c r="G8" s="786"/>
      <c r="H8" s="786"/>
      <c r="I8" s="786"/>
      <c r="J8" s="786"/>
      <c r="K8" s="786"/>
      <c r="L8" s="786"/>
      <c r="M8" s="786"/>
      <c r="N8" s="786"/>
      <c r="O8" s="787"/>
      <c r="P8" s="590"/>
      <c r="S8" s="124"/>
    </row>
    <row r="9" spans="1:21" s="123" customFormat="1" ht="40.5" customHeight="1">
      <c r="A9" s="586"/>
      <c r="B9" s="130"/>
      <c r="C9"/>
      <c r="D9"/>
      <c r="E9"/>
      <c r="F9"/>
      <c r="G9"/>
      <c r="H9"/>
      <c r="I9" s="124"/>
      <c r="J9" s="124"/>
      <c r="K9" s="124"/>
      <c r="L9" s="124"/>
      <c r="M9" s="124"/>
      <c r="N9" s="124"/>
      <c r="O9" s="131"/>
      <c r="P9" s="590"/>
      <c r="S9" s="124"/>
    </row>
    <row r="10" spans="1:21" s="123" customFormat="1" ht="55.5" customHeight="1">
      <c r="A10" s="586"/>
      <c r="B10" s="598"/>
      <c r="C10" s="599"/>
      <c r="D10" s="599"/>
      <c r="E10" s="599"/>
      <c r="F10" s="599"/>
      <c r="G10" s="599"/>
      <c r="H10" s="599"/>
      <c r="I10" s="599"/>
      <c r="J10" s="599"/>
      <c r="K10" s="599"/>
      <c r="L10" s="599"/>
      <c r="M10" s="599"/>
      <c r="N10" s="599"/>
      <c r="O10" s="141"/>
      <c r="P10" s="590"/>
      <c r="S10" s="124"/>
      <c r="T10" s="124"/>
      <c r="U10" s="124"/>
    </row>
    <row r="11" spans="1:21" s="133" customFormat="1" ht="31.5" customHeight="1">
      <c r="A11" s="586"/>
      <c r="B11" s="130"/>
      <c r="C11"/>
      <c r="D11"/>
      <c r="E11"/>
      <c r="F11"/>
      <c r="G11"/>
      <c r="H11"/>
      <c r="I11" s="138"/>
      <c r="J11" s="138"/>
      <c r="K11" s="138"/>
      <c r="L11" s="138"/>
      <c r="M11" s="138"/>
      <c r="N11" s="138"/>
      <c r="O11" s="132"/>
      <c r="P11" s="590"/>
      <c r="S11" s="134"/>
      <c r="T11" s="134"/>
    </row>
    <row r="12" spans="1:21" s="123" customFormat="1" ht="29.25" customHeight="1">
      <c r="A12" s="586"/>
      <c r="B12" s="592"/>
      <c r="C12" s="593"/>
      <c r="D12" s="593"/>
      <c r="E12" s="593"/>
      <c r="F12" s="593"/>
      <c r="G12" s="593"/>
      <c r="H12" s="593"/>
      <c r="I12" s="593"/>
      <c r="J12" s="593"/>
      <c r="K12" s="593"/>
      <c r="L12" s="593"/>
      <c r="M12" s="593"/>
      <c r="N12" s="593"/>
      <c r="O12" s="594"/>
      <c r="P12" s="590"/>
    </row>
    <row r="13" spans="1:21" s="123" customFormat="1" ht="29.25" customHeight="1" thickBot="1">
      <c r="A13" s="586"/>
      <c r="B13" s="135"/>
      <c r="C13" s="136"/>
      <c r="D13" s="136"/>
      <c r="E13" s="136"/>
      <c r="F13" s="136"/>
      <c r="G13" s="136"/>
      <c r="H13" s="136"/>
      <c r="I13" s="136"/>
      <c r="J13" s="136"/>
      <c r="K13" s="136"/>
      <c r="L13" s="136"/>
      <c r="M13" s="136"/>
      <c r="N13" s="136"/>
      <c r="O13" s="137"/>
      <c r="P13" s="590"/>
    </row>
    <row r="14" spans="1:21" s="123" customFormat="1" ht="19.5" customHeight="1" thickBot="1">
      <c r="A14" s="587"/>
      <c r="B14" s="600"/>
      <c r="C14" s="600"/>
      <c r="D14" s="600"/>
      <c r="E14" s="600"/>
      <c r="F14" s="600"/>
      <c r="G14" s="600"/>
      <c r="H14" s="600"/>
      <c r="I14" s="600"/>
      <c r="J14" s="600"/>
      <c r="K14" s="600"/>
      <c r="L14" s="600"/>
      <c r="M14" s="600"/>
      <c r="N14" s="600"/>
      <c r="O14" s="600"/>
      <c r="P14" s="591"/>
    </row>
    <row r="15" spans="1:21" ht="15.75" thickTop="1"/>
  </sheetData>
  <mergeCells count="8">
    <mergeCell ref="A1:A14"/>
    <mergeCell ref="B1:O1"/>
    <mergeCell ref="P1:P14"/>
    <mergeCell ref="B12:O12"/>
    <mergeCell ref="B2:O2"/>
    <mergeCell ref="B8:O8"/>
    <mergeCell ref="B10:N10"/>
    <mergeCell ref="B14:O14"/>
  </mergeCells>
  <pageMargins left="0.70866141732283472" right="0.27559055118110237" top="0.72" bottom="0.51181102362204722" header="0.31496062992125984" footer="0.31496062992125984"/>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A1:J26"/>
  <sheetViews>
    <sheetView tabSelected="1" zoomScale="80" zoomScaleNormal="80" workbookViewId="0">
      <selection activeCell="C27" sqref="C27"/>
    </sheetView>
  </sheetViews>
  <sheetFormatPr defaultColWidth="8.85546875" defaultRowHeight="15"/>
  <cols>
    <col min="1" max="1" width="5.85546875" style="4" customWidth="1"/>
    <col min="2" max="2" width="32.5703125" style="4" customWidth="1"/>
    <col min="3" max="3" width="64" style="4" customWidth="1"/>
    <col min="4" max="4" width="31" style="4" customWidth="1"/>
    <col min="5" max="5" width="28.85546875" style="4" customWidth="1"/>
    <col min="6" max="6" width="21.28515625" style="89" customWidth="1"/>
    <col min="7" max="7" width="20.7109375" style="89" customWidth="1"/>
    <col min="8" max="8" width="14.42578125" style="89" customWidth="1"/>
    <col min="9" max="10" width="8.85546875" style="89"/>
    <col min="11" max="16384" width="8.85546875" style="4"/>
  </cols>
  <sheetData>
    <row r="1" spans="1:7" ht="25.15" customHeight="1">
      <c r="A1" s="601" t="s">
        <v>82</v>
      </c>
      <c r="B1" s="601"/>
      <c r="C1" s="601"/>
      <c r="D1" s="601"/>
      <c r="E1" s="601"/>
    </row>
    <row r="2" spans="1:7" ht="12.75" customHeight="1">
      <c r="A2" s="5"/>
      <c r="B2" s="5"/>
      <c r="C2" s="5"/>
      <c r="D2" s="36"/>
      <c r="E2" s="5"/>
    </row>
    <row r="3" spans="1:7" ht="90.75" customHeight="1">
      <c r="A3" s="602" t="str">
        <f>tavfurceli!B8</f>
        <v>dmanisis municipalitetis sofel zemo orozmanSi skveris mowyobis samuSaoebi</v>
      </c>
      <c r="B3" s="602"/>
      <c r="C3" s="602"/>
      <c r="D3" s="602"/>
      <c r="E3" s="602"/>
    </row>
    <row r="4" spans="1:7" ht="27" customHeight="1" thickBot="1">
      <c r="A4" s="603" t="s">
        <v>93</v>
      </c>
      <c r="B4" s="603"/>
      <c r="C4" s="603"/>
      <c r="D4" s="603"/>
      <c r="E4" s="603"/>
    </row>
    <row r="5" spans="1:7" ht="51" customHeight="1" thickBot="1">
      <c r="A5" s="143" t="s">
        <v>0</v>
      </c>
      <c r="B5" s="144" t="s">
        <v>26</v>
      </c>
      <c r="C5" s="146" t="s">
        <v>27</v>
      </c>
      <c r="D5" s="119" t="s">
        <v>85</v>
      </c>
      <c r="E5" s="119" t="s">
        <v>5</v>
      </c>
    </row>
    <row r="6" spans="1:7" ht="17.25" thickBot="1">
      <c r="A6" s="214">
        <v>1</v>
      </c>
      <c r="B6" s="145">
        <v>2</v>
      </c>
      <c r="C6" s="147">
        <v>3</v>
      </c>
      <c r="D6" s="582">
        <v>4</v>
      </c>
      <c r="E6" s="166">
        <v>5</v>
      </c>
    </row>
    <row r="7" spans="1:7" ht="31.5">
      <c r="A7" s="581">
        <v>1</v>
      </c>
      <c r="B7" s="142" t="s">
        <v>77</v>
      </c>
      <c r="C7" s="120" t="s">
        <v>289</v>
      </c>
      <c r="D7" s="583" t="e">
        <f>'#1'!L168</f>
        <v>#VALUE!</v>
      </c>
      <c r="E7" s="581"/>
    </row>
    <row r="8" spans="1:7" ht="31.5">
      <c r="A8" s="278">
        <v>2</v>
      </c>
      <c r="B8" s="142" t="s">
        <v>68</v>
      </c>
      <c r="C8" s="120" t="s">
        <v>287</v>
      </c>
      <c r="D8" s="210">
        <f>'#2'!L6</f>
        <v>0</v>
      </c>
      <c r="E8" s="545"/>
      <c r="G8" s="118"/>
    </row>
    <row r="9" spans="1:7" ht="63">
      <c r="A9" s="9">
        <v>3</v>
      </c>
      <c r="B9" s="142" t="s">
        <v>76</v>
      </c>
      <c r="C9" s="213" t="s">
        <v>265</v>
      </c>
      <c r="D9" s="210">
        <f>'#3'!L6</f>
        <v>0</v>
      </c>
      <c r="E9" s="546"/>
    </row>
    <row r="10" spans="1:7" ht="31.5">
      <c r="A10" s="9">
        <v>4</v>
      </c>
      <c r="B10" s="142" t="s">
        <v>230</v>
      </c>
      <c r="C10" s="213" t="s">
        <v>290</v>
      </c>
      <c r="D10" s="210">
        <f>'#4'!L6</f>
        <v>0</v>
      </c>
      <c r="E10" s="547"/>
    </row>
    <row r="11" spans="1:7" ht="16.5">
      <c r="A11" s="165"/>
      <c r="B11" s="9"/>
      <c r="C11" s="164"/>
      <c r="D11" s="167"/>
      <c r="E11" s="548"/>
    </row>
    <row r="12" spans="1:7" ht="16.5" hidden="1">
      <c r="A12" s="11">
        <v>6</v>
      </c>
      <c r="B12" s="98" t="s">
        <v>74</v>
      </c>
      <c r="C12" s="99" t="s">
        <v>52</v>
      </c>
      <c r="D12" s="111"/>
      <c r="E12" s="148"/>
    </row>
    <row r="13" spans="1:7" ht="16.5" hidden="1">
      <c r="A13" s="34">
        <v>7</v>
      </c>
      <c r="B13" s="98" t="s">
        <v>75</v>
      </c>
      <c r="C13" s="99" t="s">
        <v>54</v>
      </c>
      <c r="D13" s="111"/>
      <c r="E13" s="148"/>
    </row>
    <row r="14" spans="1:7" ht="8.25" hidden="1" customHeight="1">
      <c r="A14" s="6"/>
      <c r="B14" s="6"/>
      <c r="C14" s="6"/>
      <c r="D14" s="98"/>
      <c r="E14" s="148"/>
    </row>
    <row r="15" spans="1:7" ht="27" customHeight="1">
      <c r="A15" s="176"/>
      <c r="B15" s="176"/>
      <c r="C15" s="177" t="s">
        <v>28</v>
      </c>
      <c r="D15" s="178" t="e">
        <f>D7+D8+D9+D10</f>
        <v>#VALUE!</v>
      </c>
      <c r="E15" s="178"/>
      <c r="G15" s="584"/>
    </row>
    <row r="16" spans="1:7" ht="16.5" hidden="1">
      <c r="A16" s="6"/>
      <c r="B16" s="6"/>
      <c r="C16" s="69" t="s">
        <v>62</v>
      </c>
      <c r="D16" s="98"/>
      <c r="E16" s="1"/>
    </row>
    <row r="17" spans="1:7" ht="16.5" hidden="1">
      <c r="A17" s="6"/>
      <c r="B17" s="6"/>
      <c r="C17" s="6"/>
      <c r="D17" s="98"/>
      <c r="E17" s="1"/>
    </row>
    <row r="18" spans="1:7" ht="16.5" hidden="1">
      <c r="A18" s="6"/>
      <c r="B18" s="6"/>
      <c r="C18" s="69" t="s">
        <v>63</v>
      </c>
      <c r="D18" s="98"/>
      <c r="E18" s="1"/>
    </row>
    <row r="19" spans="1:7" ht="16.5" hidden="1">
      <c r="A19" s="7"/>
      <c r="B19" s="7"/>
      <c r="C19" s="2" t="s">
        <v>29</v>
      </c>
      <c r="D19" s="2"/>
      <c r="E19" s="73"/>
    </row>
    <row r="20" spans="1:7" ht="9" customHeight="1">
      <c r="A20" s="5"/>
      <c r="B20" s="5"/>
      <c r="C20" s="5"/>
      <c r="D20" s="36"/>
      <c r="E20" s="5"/>
      <c r="G20" s="108">
        <v>4642500.5515225055</v>
      </c>
    </row>
    <row r="21" spans="1:7" ht="23.25" customHeight="1">
      <c r="A21" s="5"/>
      <c r="B21" s="97"/>
      <c r="C21" s="97"/>
      <c r="D21" s="97"/>
      <c r="E21" s="5"/>
      <c r="G21" s="109">
        <f>G20-E15</f>
        <v>4642500.5515225055</v>
      </c>
    </row>
    <row r="26" spans="1:7">
      <c r="C26" s="4" t="s">
        <v>67</v>
      </c>
    </row>
  </sheetData>
  <mergeCells count="3">
    <mergeCell ref="A1:E1"/>
    <mergeCell ref="A3:E3"/>
    <mergeCell ref="A4:E4"/>
  </mergeCells>
  <pageMargins left="0.85" right="0.31496062992125984" top="0.22" bottom="0.16" header="0.19685039370078741" footer="0.16"/>
  <pageSetup paperSize="9" scale="85" orientation="landscape"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T170"/>
  <sheetViews>
    <sheetView view="pageBreakPreview" topLeftCell="A144" zoomScaleNormal="60" zoomScaleSheetLayoutView="100" workbookViewId="0">
      <selection activeCell="B170" sqref="B170"/>
    </sheetView>
  </sheetViews>
  <sheetFormatPr defaultColWidth="9.140625" defaultRowHeight="15.75"/>
  <cols>
    <col min="1" max="1" width="5.5703125" style="310" customWidth="1"/>
    <col min="2" max="2" width="57.85546875" style="310" customWidth="1"/>
    <col min="3" max="3" width="9.42578125" style="371" customWidth="1"/>
    <col min="4" max="5" width="10.42578125" style="310" customWidth="1"/>
    <col min="6" max="6" width="9" style="310" customWidth="1"/>
    <col min="7" max="7" width="14" style="310" customWidth="1"/>
    <col min="8" max="8" width="7.7109375" style="310" customWidth="1"/>
    <col min="9" max="9" width="13.140625" style="310" customWidth="1"/>
    <col min="10" max="10" width="8.85546875" style="310" customWidth="1"/>
    <col min="11" max="11" width="12.85546875" style="310" customWidth="1"/>
    <col min="12" max="12" width="17" style="368" customWidth="1"/>
    <col min="13" max="13" width="22" style="313" customWidth="1"/>
    <col min="14" max="14" width="24.28515625" style="270" customWidth="1"/>
    <col min="15" max="15" width="39" style="123" customWidth="1"/>
    <col min="16" max="16" width="12.140625" style="123" bestFit="1" customWidth="1"/>
    <col min="17" max="16384" width="9.140625" style="123"/>
  </cols>
  <sheetData>
    <row r="1" spans="1:15" s="8" customFormat="1" ht="48" customHeight="1">
      <c r="A1" s="618" t="str">
        <f>tavfurceli!B8</f>
        <v>dmanisis municipalitetis sofel zemo orozmanSi skveris mowyobis samuSaoebi</v>
      </c>
      <c r="B1" s="618"/>
      <c r="C1" s="618"/>
      <c r="D1" s="618"/>
      <c r="E1" s="618"/>
      <c r="F1" s="618"/>
      <c r="G1" s="618"/>
      <c r="H1" s="618"/>
      <c r="I1" s="618"/>
      <c r="J1" s="618"/>
      <c r="K1" s="618"/>
      <c r="L1" s="618"/>
      <c r="M1" s="311" t="s">
        <v>78</v>
      </c>
      <c r="N1" s="265"/>
    </row>
    <row r="2" spans="1:15" s="8" customFormat="1">
      <c r="A2" s="618" t="s">
        <v>83</v>
      </c>
      <c r="B2" s="618"/>
      <c r="C2" s="618"/>
      <c r="D2" s="618"/>
      <c r="E2" s="618"/>
      <c r="F2" s="618"/>
      <c r="G2" s="618"/>
      <c r="H2" s="618"/>
      <c r="I2" s="618"/>
      <c r="J2" s="618"/>
      <c r="K2" s="618"/>
      <c r="L2" s="618"/>
      <c r="M2" s="12"/>
      <c r="N2" s="265"/>
    </row>
    <row r="3" spans="1:15" s="8" customFormat="1">
      <c r="A3" s="549"/>
      <c r="B3" s="549"/>
      <c r="C3" s="549"/>
      <c r="D3" s="549"/>
      <c r="E3" s="549"/>
      <c r="F3" s="549"/>
      <c r="G3" s="549"/>
      <c r="H3" s="549"/>
      <c r="I3" s="549"/>
      <c r="J3" s="549"/>
      <c r="K3" s="549"/>
      <c r="L3" s="312"/>
      <c r="M3" s="12"/>
      <c r="N3" s="265"/>
    </row>
    <row r="4" spans="1:15" s="8" customFormat="1">
      <c r="A4" s="619" t="s">
        <v>34</v>
      </c>
      <c r="B4" s="619"/>
      <c r="C4" s="619"/>
      <c r="D4" s="619"/>
      <c r="E4" s="619"/>
      <c r="F4" s="619"/>
      <c r="G4" s="619"/>
      <c r="H4" s="619"/>
      <c r="I4" s="619"/>
      <c r="J4" s="619"/>
      <c r="K4" s="619"/>
      <c r="L4" s="619"/>
      <c r="M4" s="12"/>
      <c r="N4" s="265"/>
    </row>
    <row r="5" spans="1:15" s="8" customFormat="1">
      <c r="A5" s="291"/>
      <c r="B5" s="291"/>
      <c r="C5" s="291"/>
      <c r="D5" s="291"/>
      <c r="E5" s="291"/>
      <c r="F5" s="291"/>
      <c r="G5" s="291"/>
      <c r="H5" s="291"/>
      <c r="I5" s="291"/>
      <c r="J5" s="291"/>
      <c r="K5" s="291"/>
      <c r="L5" s="271"/>
      <c r="M5" s="12"/>
      <c r="N5" s="265"/>
    </row>
    <row r="6" spans="1:15" s="389" customFormat="1" ht="26.25" customHeight="1">
      <c r="A6" s="620"/>
      <c r="B6" s="621"/>
      <c r="C6" s="621"/>
      <c r="D6" s="383"/>
      <c r="E6" s="384"/>
      <c r="F6" s="385"/>
      <c r="G6" s="622" t="s">
        <v>81</v>
      </c>
      <c r="H6" s="622"/>
      <c r="I6" s="622"/>
      <c r="J6" s="622"/>
      <c r="K6" s="386" t="s">
        <v>11</v>
      </c>
      <c r="L6" s="387" t="e">
        <f>L168</f>
        <v>#VALUE!</v>
      </c>
      <c r="M6" s="91"/>
      <c r="N6" s="388"/>
    </row>
    <row r="7" spans="1:15" s="86" customFormat="1" ht="51.75" customHeight="1">
      <c r="A7" s="629" t="s">
        <v>0</v>
      </c>
      <c r="B7" s="631" t="s">
        <v>86</v>
      </c>
      <c r="C7" s="631" t="s">
        <v>87</v>
      </c>
      <c r="D7" s="625" t="s">
        <v>88</v>
      </c>
      <c r="E7" s="626"/>
      <c r="F7" s="627" t="s">
        <v>47</v>
      </c>
      <c r="G7" s="628"/>
      <c r="H7" s="627" t="s">
        <v>65</v>
      </c>
      <c r="I7" s="628"/>
      <c r="J7" s="627" t="s">
        <v>17</v>
      </c>
      <c r="K7" s="628"/>
      <c r="L7" s="633" t="s">
        <v>55</v>
      </c>
      <c r="N7" s="623" t="s">
        <v>89</v>
      </c>
      <c r="O7" s="185"/>
    </row>
    <row r="8" spans="1:15" s="86" customFormat="1" ht="31.5">
      <c r="A8" s="630"/>
      <c r="B8" s="632"/>
      <c r="C8" s="632"/>
      <c r="D8" s="150" t="s">
        <v>90</v>
      </c>
      <c r="E8" s="150" t="s">
        <v>10</v>
      </c>
      <c r="F8" s="151" t="s">
        <v>91</v>
      </c>
      <c r="G8" s="151" t="s">
        <v>92</v>
      </c>
      <c r="H8" s="151" t="s">
        <v>91</v>
      </c>
      <c r="I8" s="151" t="s">
        <v>92</v>
      </c>
      <c r="J8" s="151" t="s">
        <v>91</v>
      </c>
      <c r="K8" s="151" t="s">
        <v>92</v>
      </c>
      <c r="L8" s="634"/>
      <c r="N8" s="624"/>
      <c r="O8" s="185"/>
    </row>
    <row r="9" spans="1:15" s="86" customFormat="1">
      <c r="A9" s="373">
        <v>1</v>
      </c>
      <c r="B9" s="154">
        <v>3</v>
      </c>
      <c r="C9" s="154">
        <v>4</v>
      </c>
      <c r="D9" s="155">
        <v>5</v>
      </c>
      <c r="E9" s="155">
        <v>6</v>
      </c>
      <c r="F9" s="155">
        <v>7</v>
      </c>
      <c r="G9" s="155">
        <v>8</v>
      </c>
      <c r="H9" s="155">
        <v>9</v>
      </c>
      <c r="I9" s="155">
        <v>10</v>
      </c>
      <c r="J9" s="155">
        <v>11</v>
      </c>
      <c r="K9" s="155">
        <v>12</v>
      </c>
      <c r="L9" s="155">
        <v>13</v>
      </c>
      <c r="N9" s="155">
        <v>14</v>
      </c>
      <c r="O9" s="185"/>
    </row>
    <row r="10" spans="1:15" s="221" customFormat="1">
      <c r="A10" s="374" t="s">
        <v>77</v>
      </c>
      <c r="B10" s="220" t="s">
        <v>34</v>
      </c>
      <c r="C10" s="219"/>
      <c r="D10" s="359"/>
      <c r="E10" s="359"/>
      <c r="F10" s="225"/>
      <c r="G10" s="225"/>
      <c r="H10" s="225"/>
      <c r="I10" s="225"/>
      <c r="J10" s="225"/>
      <c r="K10" s="225"/>
      <c r="L10" s="272"/>
      <c r="M10" s="430"/>
      <c r="N10" s="266"/>
    </row>
    <row r="11" spans="1:15" s="221" customFormat="1">
      <c r="A11" s="446"/>
      <c r="B11" s="201" t="s">
        <v>291</v>
      </c>
      <c r="C11" s="446"/>
      <c r="D11" s="447"/>
      <c r="E11" s="448"/>
      <c r="F11" s="225"/>
      <c r="G11" s="225"/>
      <c r="H11" s="225"/>
      <c r="I11" s="225"/>
      <c r="J11" s="225"/>
      <c r="K11" s="225"/>
      <c r="L11" s="272"/>
      <c r="M11" s="430"/>
      <c r="N11" s="266"/>
    </row>
    <row r="12" spans="1:15" s="86" customFormat="1" ht="31.5">
      <c r="A12" s="375"/>
      <c r="B12" s="223" t="s">
        <v>105</v>
      </c>
      <c r="C12" s="222"/>
      <c r="D12" s="224"/>
      <c r="E12" s="224"/>
      <c r="F12" s="225"/>
      <c r="G12" s="225"/>
      <c r="H12" s="225"/>
      <c r="I12" s="225"/>
      <c r="J12" s="225"/>
      <c r="K12" s="225"/>
      <c r="L12" s="272"/>
      <c r="M12" s="430"/>
      <c r="N12" s="184"/>
    </row>
    <row r="13" spans="1:15" s="86" customFormat="1" ht="31.5">
      <c r="A13" s="604" t="s">
        <v>56</v>
      </c>
      <c r="B13" s="47" t="s">
        <v>106</v>
      </c>
      <c r="C13" s="163" t="s">
        <v>107</v>
      </c>
      <c r="D13" s="187"/>
      <c r="E13" s="187">
        <v>0.32500000000000001</v>
      </c>
      <c r="F13" s="225"/>
      <c r="G13" s="225"/>
      <c r="H13" s="225"/>
      <c r="I13" s="225"/>
      <c r="J13" s="225"/>
      <c r="K13" s="225"/>
      <c r="L13" s="272"/>
      <c r="M13" s="430"/>
      <c r="N13" s="184"/>
    </row>
    <row r="14" spans="1:15" s="86" customFormat="1">
      <c r="A14" s="605"/>
      <c r="B14" s="48" t="s">
        <v>108</v>
      </c>
      <c r="C14" s="290" t="s">
        <v>16</v>
      </c>
      <c r="D14" s="226">
        <v>0.9</v>
      </c>
      <c r="E14" s="226">
        <f>E13*D14</f>
        <v>0.29250000000000004</v>
      </c>
      <c r="F14" s="225"/>
      <c r="G14" s="225"/>
      <c r="H14" s="225"/>
      <c r="I14" s="225"/>
      <c r="J14" s="225"/>
      <c r="K14" s="225"/>
      <c r="L14" s="272"/>
      <c r="M14" s="430"/>
      <c r="N14" s="184">
        <f>(K14+K15)/E13/1000</f>
        <v>0</v>
      </c>
    </row>
    <row r="15" spans="1:15" s="86" customFormat="1">
      <c r="A15" s="288"/>
      <c r="B15" s="48" t="s">
        <v>142</v>
      </c>
      <c r="C15" s="290" t="s">
        <v>16</v>
      </c>
      <c r="D15" s="226">
        <v>0.45</v>
      </c>
      <c r="E15" s="226">
        <f>E13*D15</f>
        <v>0.14625000000000002</v>
      </c>
      <c r="F15" s="225"/>
      <c r="G15" s="225"/>
      <c r="H15" s="225"/>
      <c r="I15" s="225"/>
      <c r="J15" s="225"/>
      <c r="K15" s="225"/>
      <c r="L15" s="272"/>
      <c r="M15" s="430"/>
      <c r="N15" s="184"/>
    </row>
    <row r="16" spans="1:15" s="86" customFormat="1">
      <c r="A16" s="604" t="s">
        <v>57</v>
      </c>
      <c r="B16" s="47" t="s">
        <v>109</v>
      </c>
      <c r="C16" s="163" t="s">
        <v>107</v>
      </c>
      <c r="D16" s="187"/>
      <c r="E16" s="187">
        <v>0.32500000000000001</v>
      </c>
      <c r="F16" s="225"/>
      <c r="G16" s="225"/>
      <c r="H16" s="225"/>
      <c r="I16" s="225"/>
      <c r="J16" s="225"/>
      <c r="K16" s="225"/>
      <c r="L16" s="272"/>
      <c r="M16" s="430"/>
      <c r="N16" s="184"/>
    </row>
    <row r="17" spans="1:14" s="86" customFormat="1" ht="16.5">
      <c r="A17" s="606"/>
      <c r="B17" s="48" t="s">
        <v>13</v>
      </c>
      <c r="C17" s="290" t="s">
        <v>15</v>
      </c>
      <c r="D17" s="226">
        <v>180</v>
      </c>
      <c r="E17" s="226">
        <f>E16*D17</f>
        <v>58.5</v>
      </c>
      <c r="F17" s="225"/>
      <c r="G17" s="225"/>
      <c r="H17" s="225"/>
      <c r="I17" s="225"/>
      <c r="J17" s="225"/>
      <c r="K17" s="225"/>
      <c r="L17" s="272"/>
      <c r="M17" s="430"/>
      <c r="N17" s="267">
        <f>(I17)/E16/1000</f>
        <v>0</v>
      </c>
    </row>
    <row r="18" spans="1:14" s="86" customFormat="1">
      <c r="A18" s="289"/>
      <c r="B18" s="48"/>
      <c r="C18" s="290"/>
      <c r="D18" s="226"/>
      <c r="E18" s="226"/>
      <c r="F18" s="225"/>
      <c r="G18" s="225"/>
      <c r="H18" s="225"/>
      <c r="I18" s="225"/>
      <c r="J18" s="225"/>
      <c r="K18" s="225"/>
      <c r="L18" s="272"/>
      <c r="M18" s="430"/>
      <c r="N18" s="184"/>
    </row>
    <row r="19" spans="1:14" s="86" customFormat="1" ht="47.25">
      <c r="A19" s="612" t="s">
        <v>110</v>
      </c>
      <c r="B19" s="47" t="s">
        <v>111</v>
      </c>
      <c r="C19" s="163" t="s">
        <v>6</v>
      </c>
      <c r="D19" s="226"/>
      <c r="E19" s="187">
        <v>15</v>
      </c>
      <c r="F19" s="225"/>
      <c r="G19" s="225"/>
      <c r="H19" s="225"/>
      <c r="I19" s="225"/>
      <c r="J19" s="225"/>
      <c r="K19" s="225"/>
      <c r="L19" s="272"/>
      <c r="M19" s="430"/>
      <c r="N19" s="184"/>
    </row>
    <row r="20" spans="1:14" s="86" customFormat="1" ht="16.5">
      <c r="A20" s="612"/>
      <c r="B20" s="46" t="s">
        <v>19</v>
      </c>
      <c r="C20" s="26" t="s">
        <v>15</v>
      </c>
      <c r="D20" s="227">
        <v>0.6</v>
      </c>
      <c r="E20" s="228">
        <f>E19*D20</f>
        <v>9</v>
      </c>
      <c r="F20" s="229"/>
      <c r="G20" s="225"/>
      <c r="H20" s="229"/>
      <c r="I20" s="225"/>
      <c r="J20" s="225"/>
      <c r="K20" s="225"/>
      <c r="L20" s="272"/>
      <c r="M20" s="430"/>
      <c r="N20" s="267">
        <f>(I20)/E19</f>
        <v>0</v>
      </c>
    </row>
    <row r="21" spans="1:14" s="86" customFormat="1" ht="31.5">
      <c r="A21" s="612"/>
      <c r="B21" s="83" t="s">
        <v>112</v>
      </c>
      <c r="C21" s="163" t="s">
        <v>9</v>
      </c>
      <c r="D21" s="227"/>
      <c r="E21" s="230">
        <f>E19*1.95</f>
        <v>29.25</v>
      </c>
      <c r="F21" s="229"/>
      <c r="G21" s="225"/>
      <c r="H21" s="229"/>
      <c r="I21" s="225"/>
      <c r="J21" s="229"/>
      <c r="K21" s="225"/>
      <c r="L21" s="272"/>
      <c r="M21" s="430"/>
      <c r="N21" s="184"/>
    </row>
    <row r="22" spans="1:14" s="86" customFormat="1" ht="16.5">
      <c r="A22" s="612"/>
      <c r="B22" s="84" t="s">
        <v>22</v>
      </c>
      <c r="C22" s="26" t="s">
        <v>15</v>
      </c>
      <c r="D22" s="227">
        <v>0.53</v>
      </c>
      <c r="E22" s="228">
        <f>E21*D22</f>
        <v>15.502500000000001</v>
      </c>
      <c r="F22" s="229"/>
      <c r="G22" s="225"/>
      <c r="H22" s="229"/>
      <c r="I22" s="225"/>
      <c r="J22" s="229"/>
      <c r="K22" s="225"/>
      <c r="L22" s="272"/>
      <c r="M22" s="430"/>
      <c r="N22" s="267">
        <f>(I22)/E21</f>
        <v>0</v>
      </c>
    </row>
    <row r="23" spans="1:14" s="86" customFormat="1">
      <c r="A23" s="612"/>
      <c r="B23" s="96" t="s">
        <v>132</v>
      </c>
      <c r="C23" s="163" t="s">
        <v>9</v>
      </c>
      <c r="D23" s="227"/>
      <c r="E23" s="230">
        <f>E21</f>
        <v>29.25</v>
      </c>
      <c r="F23" s="229"/>
      <c r="G23" s="225"/>
      <c r="H23" s="229"/>
      <c r="I23" s="225"/>
      <c r="J23" s="229"/>
      <c r="K23" s="225"/>
      <c r="L23" s="272"/>
      <c r="M23" s="231">
        <f>SUM(L12:L23)</f>
        <v>0</v>
      </c>
      <c r="N23" s="184"/>
    </row>
    <row r="24" spans="1:14" s="90" customFormat="1" ht="16.5">
      <c r="A24" s="376"/>
      <c r="B24" s="48"/>
      <c r="C24" s="290"/>
      <c r="D24" s="226"/>
      <c r="E24" s="232"/>
      <c r="F24" s="225"/>
      <c r="G24" s="233"/>
      <c r="H24" s="225"/>
      <c r="I24" s="233"/>
      <c r="J24" s="225"/>
      <c r="K24" s="233"/>
      <c r="L24" s="273"/>
      <c r="M24" s="231"/>
      <c r="N24" s="267"/>
    </row>
    <row r="25" spans="1:14" s="90" customFormat="1" ht="31.5">
      <c r="A25" s="377"/>
      <c r="B25" s="104" t="s">
        <v>136</v>
      </c>
      <c r="C25" s="103"/>
      <c r="D25" s="360"/>
      <c r="E25" s="234"/>
      <c r="F25" s="225"/>
      <c r="G25" s="31"/>
      <c r="H25" s="31"/>
      <c r="I25" s="31"/>
      <c r="J25" s="74"/>
      <c r="K25" s="31"/>
      <c r="L25" s="159"/>
      <c r="M25" s="231"/>
      <c r="N25" s="267"/>
    </row>
    <row r="26" spans="1:14" s="90" customFormat="1" ht="16.5">
      <c r="A26" s="376"/>
      <c r="B26" s="48"/>
      <c r="C26" s="290"/>
      <c r="D26" s="226"/>
      <c r="E26" s="232"/>
      <c r="F26" s="225"/>
      <c r="G26" s="31"/>
      <c r="H26" s="31"/>
      <c r="I26" s="31"/>
      <c r="J26" s="74"/>
      <c r="K26" s="31"/>
      <c r="L26" s="159"/>
      <c r="M26" s="231"/>
      <c r="N26" s="267"/>
    </row>
    <row r="27" spans="1:14" s="86" customFormat="1">
      <c r="A27" s="293"/>
      <c r="B27" s="209" t="s">
        <v>139</v>
      </c>
      <c r="C27" s="251" t="s">
        <v>1</v>
      </c>
      <c r="D27" s="294"/>
      <c r="E27" s="294">
        <v>67</v>
      </c>
      <c r="F27" s="295"/>
      <c r="G27" s="295"/>
      <c r="H27" s="295"/>
      <c r="I27" s="295"/>
      <c r="J27" s="295"/>
      <c r="K27" s="295"/>
      <c r="L27" s="314"/>
      <c r="M27" s="353"/>
      <c r="N27" s="184"/>
    </row>
    <row r="28" spans="1:14" s="86" customFormat="1" ht="31.5">
      <c r="A28" s="604" t="s">
        <v>56</v>
      </c>
      <c r="B28" s="47" t="s">
        <v>128</v>
      </c>
      <c r="C28" s="163" t="s">
        <v>6</v>
      </c>
      <c r="D28" s="308"/>
      <c r="E28" s="297">
        <f>0.15*(0.1+0.1)*E27</f>
        <v>2.0099999999999998</v>
      </c>
      <c r="F28" s="295"/>
      <c r="G28" s="295"/>
      <c r="H28" s="295"/>
      <c r="I28" s="295"/>
      <c r="J28" s="295"/>
      <c r="K28" s="295"/>
      <c r="L28" s="314"/>
      <c r="M28" s="353"/>
      <c r="N28" s="184"/>
    </row>
    <row r="29" spans="1:14" s="86" customFormat="1">
      <c r="A29" s="606"/>
      <c r="B29" s="199" t="s">
        <v>13</v>
      </c>
      <c r="C29" s="58" t="s">
        <v>15</v>
      </c>
      <c r="D29" s="298">
        <v>2.06</v>
      </c>
      <c r="E29" s="298">
        <f>D29*E28</f>
        <v>4.1406000000000001</v>
      </c>
      <c r="F29" s="299"/>
      <c r="G29" s="295"/>
      <c r="H29" s="299"/>
      <c r="I29" s="295"/>
      <c r="J29" s="295"/>
      <c r="K29" s="295"/>
      <c r="L29" s="314"/>
      <c r="M29" s="353"/>
      <c r="N29" s="184">
        <f>I29/E28</f>
        <v>0</v>
      </c>
    </row>
    <row r="30" spans="1:14" s="86" customFormat="1" ht="31.5">
      <c r="A30" s="610" t="s">
        <v>57</v>
      </c>
      <c r="B30" s="83" t="s">
        <v>118</v>
      </c>
      <c r="C30" s="163" t="s">
        <v>9</v>
      </c>
      <c r="D30" s="361"/>
      <c r="E30" s="300">
        <f>E28*1.95</f>
        <v>3.9194999999999993</v>
      </c>
      <c r="F30" s="301"/>
      <c r="G30" s="295"/>
      <c r="H30" s="301"/>
      <c r="I30" s="295"/>
      <c r="J30" s="301"/>
      <c r="K30" s="295"/>
      <c r="L30" s="314"/>
      <c r="M30" s="353"/>
      <c r="N30" s="184"/>
    </row>
    <row r="31" spans="1:14" s="86" customFormat="1">
      <c r="A31" s="613"/>
      <c r="B31" s="84" t="s">
        <v>22</v>
      </c>
      <c r="C31" s="26" t="s">
        <v>15</v>
      </c>
      <c r="D31" s="361">
        <v>0.53</v>
      </c>
      <c r="E31" s="302">
        <f>E30*D31</f>
        <v>2.0773349999999997</v>
      </c>
      <c r="G31" s="295"/>
      <c r="H31" s="301"/>
      <c r="I31" s="295"/>
      <c r="J31" s="301"/>
      <c r="K31" s="295"/>
      <c r="L31" s="314"/>
      <c r="M31" s="353"/>
      <c r="N31" s="184">
        <f>I31/E30</f>
        <v>0</v>
      </c>
    </row>
    <row r="32" spans="1:14" s="86" customFormat="1" ht="31.5">
      <c r="A32" s="611"/>
      <c r="B32" s="248" t="s">
        <v>135</v>
      </c>
      <c r="C32" s="163" t="s">
        <v>9</v>
      </c>
      <c r="D32" s="361"/>
      <c r="E32" s="300">
        <f>E30</f>
        <v>3.9194999999999993</v>
      </c>
      <c r="F32" s="301"/>
      <c r="G32" s="295"/>
      <c r="H32" s="301"/>
      <c r="I32" s="295"/>
      <c r="J32" s="301"/>
      <c r="K32" s="295"/>
      <c r="L32" s="314"/>
      <c r="M32" s="353"/>
      <c r="N32" s="184"/>
    </row>
    <row r="33" spans="1:20" s="86" customFormat="1" ht="31.5">
      <c r="A33" s="610" t="s">
        <v>35</v>
      </c>
      <c r="B33" s="47" t="s">
        <v>129</v>
      </c>
      <c r="C33" s="163" t="s">
        <v>6</v>
      </c>
      <c r="D33" s="308"/>
      <c r="E33" s="297">
        <f>0.15*0.1*E27</f>
        <v>1.0049999999999999</v>
      </c>
      <c r="F33" s="295"/>
      <c r="G33" s="295"/>
      <c r="H33" s="295"/>
      <c r="I33" s="295"/>
      <c r="J33" s="295"/>
      <c r="K33" s="295"/>
      <c r="L33" s="314"/>
      <c r="M33" s="353"/>
      <c r="N33" s="184"/>
    </row>
    <row r="34" spans="1:20" s="86" customFormat="1">
      <c r="A34" s="613"/>
      <c r="B34" s="48" t="s">
        <v>46</v>
      </c>
      <c r="C34" s="26" t="s">
        <v>15</v>
      </c>
      <c r="D34" s="308">
        <v>3.52</v>
      </c>
      <c r="E34" s="303">
        <f>D34*E33</f>
        <v>3.5375999999999999</v>
      </c>
      <c r="F34" s="295"/>
      <c r="G34" s="295"/>
      <c r="H34" s="295"/>
      <c r="I34" s="295"/>
      <c r="J34" s="295"/>
      <c r="K34" s="295"/>
      <c r="L34" s="314"/>
      <c r="M34" s="353"/>
      <c r="N34" s="184">
        <f>I34/E33</f>
        <v>0</v>
      </c>
    </row>
    <row r="35" spans="1:20" s="86" customFormat="1">
      <c r="A35" s="613"/>
      <c r="B35" s="48" t="s">
        <v>20</v>
      </c>
      <c r="C35" s="26" t="s">
        <v>11</v>
      </c>
      <c r="D35" s="361">
        <v>1.06</v>
      </c>
      <c r="E35" s="302">
        <f>E33*D35</f>
        <v>1.0652999999999999</v>
      </c>
      <c r="F35" s="301"/>
      <c r="G35" s="295"/>
      <c r="H35" s="301"/>
      <c r="I35" s="295"/>
      <c r="J35" s="295"/>
      <c r="K35" s="295"/>
      <c r="L35" s="314"/>
      <c r="M35" s="353"/>
      <c r="N35" s="184"/>
    </row>
    <row r="36" spans="1:20" s="86" customFormat="1">
      <c r="A36" s="613"/>
      <c r="B36" s="48" t="s">
        <v>125</v>
      </c>
      <c r="C36" s="290" t="s">
        <v>6</v>
      </c>
      <c r="D36" s="308">
        <f>0.18+0.09+0.97</f>
        <v>1.24</v>
      </c>
      <c r="E36" s="303">
        <f>D36*E33</f>
        <v>1.2461999999999998</v>
      </c>
      <c r="F36" s="295"/>
      <c r="G36" s="295"/>
      <c r="H36" s="295"/>
      <c r="I36" s="295"/>
      <c r="J36" s="295"/>
      <c r="K36" s="295"/>
      <c r="L36" s="314"/>
      <c r="M36" s="353"/>
      <c r="N36" s="184"/>
    </row>
    <row r="37" spans="1:20" s="86" customFormat="1">
      <c r="A37" s="611"/>
      <c r="B37" s="258" t="s">
        <v>18</v>
      </c>
      <c r="C37" s="57" t="s">
        <v>11</v>
      </c>
      <c r="D37" s="308">
        <v>0.02</v>
      </c>
      <c r="E37" s="303">
        <f>E33*D37</f>
        <v>2.01E-2</v>
      </c>
      <c r="F37" s="304"/>
      <c r="G37" s="295"/>
      <c r="H37" s="305"/>
      <c r="I37" s="295"/>
      <c r="J37" s="306"/>
      <c r="K37" s="295"/>
      <c r="L37" s="314"/>
      <c r="M37" s="353"/>
      <c r="N37" s="184"/>
    </row>
    <row r="38" spans="1:20" s="86" customFormat="1">
      <c r="A38" s="604" t="s">
        <v>58</v>
      </c>
      <c r="B38" s="47" t="s">
        <v>140</v>
      </c>
      <c r="C38" s="163" t="s">
        <v>1</v>
      </c>
      <c r="D38" s="297"/>
      <c r="E38" s="297">
        <f>E27</f>
        <v>67</v>
      </c>
      <c r="F38" s="295"/>
      <c r="G38" s="295"/>
      <c r="H38" s="295"/>
      <c r="I38" s="295"/>
      <c r="J38" s="295"/>
      <c r="K38" s="295"/>
      <c r="L38" s="314"/>
      <c r="M38" s="353"/>
      <c r="N38" s="184"/>
    </row>
    <row r="39" spans="1:20" s="86" customFormat="1">
      <c r="A39" s="605"/>
      <c r="B39" s="48" t="s">
        <v>46</v>
      </c>
      <c r="C39" s="290" t="s">
        <v>215</v>
      </c>
      <c r="D39" s="308">
        <v>0.74</v>
      </c>
      <c r="E39" s="308">
        <f>D39*E38</f>
        <v>49.58</v>
      </c>
      <c r="F39" s="295"/>
      <c r="G39" s="295"/>
      <c r="H39" s="295"/>
      <c r="I39" s="295"/>
      <c r="J39" s="295"/>
      <c r="K39" s="295"/>
      <c r="L39" s="314"/>
      <c r="M39" s="353"/>
      <c r="N39" s="184">
        <f>I39/E38</f>
        <v>0</v>
      </c>
    </row>
    <row r="40" spans="1:20" s="86" customFormat="1">
      <c r="A40" s="605"/>
      <c r="B40" s="48" t="s">
        <v>14</v>
      </c>
      <c r="C40" s="290" t="s">
        <v>11</v>
      </c>
      <c r="D40" s="308">
        <f>0.71*0.01</f>
        <v>7.0999999999999995E-3</v>
      </c>
      <c r="E40" s="308">
        <f>D40*E38</f>
        <v>0.47569999999999996</v>
      </c>
      <c r="F40" s="295"/>
      <c r="G40" s="295"/>
      <c r="H40" s="295"/>
      <c r="I40" s="295"/>
      <c r="J40" s="295"/>
      <c r="K40" s="295"/>
      <c r="L40" s="314"/>
      <c r="M40" s="353"/>
      <c r="N40" s="184"/>
    </row>
    <row r="41" spans="1:20" s="86" customFormat="1">
      <c r="A41" s="605"/>
      <c r="B41" s="48" t="s">
        <v>141</v>
      </c>
      <c r="C41" s="290" t="s">
        <v>1</v>
      </c>
      <c r="D41" s="308">
        <v>1</v>
      </c>
      <c r="E41" s="297">
        <f>E38</f>
        <v>67</v>
      </c>
      <c r="F41" s="295"/>
      <c r="G41" s="295"/>
      <c r="H41" s="295"/>
      <c r="I41" s="295"/>
      <c r="J41" s="295"/>
      <c r="K41" s="295"/>
      <c r="L41" s="314"/>
      <c r="M41" s="353"/>
      <c r="N41" s="184"/>
    </row>
    <row r="42" spans="1:20" s="86" customFormat="1">
      <c r="A42" s="605"/>
      <c r="B42" s="262" t="s">
        <v>130</v>
      </c>
      <c r="C42" s="290" t="s">
        <v>6</v>
      </c>
      <c r="D42" s="308">
        <v>3.9E-2</v>
      </c>
      <c r="E42" s="308">
        <f>E38*D42</f>
        <v>2.613</v>
      </c>
      <c r="F42" s="295"/>
      <c r="G42" s="295"/>
      <c r="H42" s="295"/>
      <c r="I42" s="295"/>
      <c r="J42" s="295"/>
      <c r="K42" s="295"/>
      <c r="L42" s="314"/>
      <c r="M42" s="353"/>
      <c r="N42" s="184"/>
    </row>
    <row r="43" spans="1:20" s="86" customFormat="1">
      <c r="A43" s="605"/>
      <c r="B43" s="48" t="s">
        <v>131</v>
      </c>
      <c r="C43" s="290" t="s">
        <v>6</v>
      </c>
      <c r="D43" s="308">
        <f>0.06*0.01</f>
        <v>5.9999999999999995E-4</v>
      </c>
      <c r="E43" s="308">
        <f>D43*E38</f>
        <v>4.02E-2</v>
      </c>
      <c r="F43" s="295"/>
      <c r="G43" s="295"/>
      <c r="H43" s="295"/>
      <c r="I43" s="295"/>
      <c r="J43" s="295"/>
      <c r="K43" s="295"/>
      <c r="L43" s="314"/>
      <c r="M43" s="353"/>
      <c r="N43" s="184"/>
    </row>
    <row r="44" spans="1:20" s="86" customFormat="1">
      <c r="A44" s="606"/>
      <c r="B44" s="48" t="s">
        <v>21</v>
      </c>
      <c r="C44" s="290" t="s">
        <v>11</v>
      </c>
      <c r="D44" s="308">
        <f>9.6*0.01</f>
        <v>9.6000000000000002E-2</v>
      </c>
      <c r="E44" s="308">
        <f>D44*E38</f>
        <v>6.4320000000000004</v>
      </c>
      <c r="F44" s="295"/>
      <c r="G44" s="295"/>
      <c r="H44" s="295"/>
      <c r="I44" s="295"/>
      <c r="J44" s="295"/>
      <c r="K44" s="295"/>
      <c r="L44" s="314"/>
      <c r="M44" s="88">
        <f>SUM(L27:L44)</f>
        <v>0</v>
      </c>
      <c r="N44" s="184"/>
    </row>
    <row r="45" spans="1:20" s="90" customFormat="1" ht="16.5">
      <c r="A45" s="289"/>
      <c r="B45" s="48"/>
      <c r="C45" s="290"/>
      <c r="D45" s="70"/>
      <c r="E45" s="70"/>
      <c r="F45" s="31"/>
      <c r="G45" s="31"/>
      <c r="H45" s="31"/>
      <c r="I45" s="31"/>
      <c r="J45" s="31"/>
      <c r="K45" s="31"/>
      <c r="L45" s="159"/>
      <c r="M45" s="231"/>
      <c r="N45" s="267"/>
    </row>
    <row r="46" spans="1:20">
      <c r="A46" s="378"/>
      <c r="B46" s="209" t="s">
        <v>158</v>
      </c>
      <c r="C46" s="315" t="s">
        <v>1</v>
      </c>
      <c r="D46" s="316"/>
      <c r="E46" s="316">
        <v>71</v>
      </c>
      <c r="F46" s="317"/>
      <c r="G46" s="225"/>
      <c r="H46" s="317"/>
      <c r="I46" s="225"/>
      <c r="J46" s="264"/>
      <c r="K46" s="225"/>
      <c r="L46" s="272"/>
      <c r="M46" s="432"/>
      <c r="N46" s="318"/>
      <c r="O46" s="318"/>
      <c r="P46" s="318"/>
      <c r="Q46" s="318"/>
      <c r="R46" s="318"/>
      <c r="T46" s="319">
        <v>16</v>
      </c>
    </row>
    <row r="47" spans="1:20" ht="47.25">
      <c r="A47" s="610" t="s">
        <v>56</v>
      </c>
      <c r="B47" s="47" t="s">
        <v>185</v>
      </c>
      <c r="C47" s="163" t="s">
        <v>6</v>
      </c>
      <c r="D47" s="441"/>
      <c r="E47" s="187">
        <f>1*0.8*E46</f>
        <v>56.800000000000004</v>
      </c>
      <c r="F47" s="321"/>
      <c r="G47" s="225"/>
      <c r="H47" s="321"/>
      <c r="I47" s="225"/>
      <c r="J47" s="321"/>
      <c r="K47" s="225"/>
      <c r="L47" s="272"/>
      <c r="M47" s="433"/>
      <c r="N47" s="318"/>
      <c r="O47" s="318"/>
      <c r="P47" s="318"/>
      <c r="Q47" s="318"/>
      <c r="R47" s="318"/>
      <c r="T47" s="322">
        <v>6.72</v>
      </c>
    </row>
    <row r="48" spans="1:20">
      <c r="A48" s="611"/>
      <c r="B48" s="235" t="s">
        <v>114</v>
      </c>
      <c r="C48" s="323" t="s">
        <v>115</v>
      </c>
      <c r="D48" s="324">
        <v>2.06</v>
      </c>
      <c r="E48" s="324">
        <f>E47*D48</f>
        <v>117.00800000000001</v>
      </c>
      <c r="F48" s="317"/>
      <c r="G48" s="225"/>
      <c r="H48" s="317"/>
      <c r="I48" s="225"/>
      <c r="J48" s="264"/>
      <c r="K48" s="225"/>
      <c r="L48" s="272"/>
      <c r="M48" s="433"/>
      <c r="N48" s="325">
        <f>I48/E47</f>
        <v>0</v>
      </c>
      <c r="O48" s="318"/>
      <c r="P48" s="318"/>
      <c r="Q48" s="318"/>
      <c r="R48" s="318"/>
      <c r="T48" s="326">
        <v>13.8432</v>
      </c>
    </row>
    <row r="49" spans="1:20" ht="31.5">
      <c r="A49" s="610" t="s">
        <v>35</v>
      </c>
      <c r="B49" s="188" t="s">
        <v>143</v>
      </c>
      <c r="C49" s="320" t="s">
        <v>6</v>
      </c>
      <c r="D49" s="324"/>
      <c r="E49" s="187">
        <f>0.8*0.1*E46</f>
        <v>5.6800000000000015</v>
      </c>
      <c r="F49" s="317"/>
      <c r="G49" s="225"/>
      <c r="H49" s="225"/>
      <c r="I49" s="225"/>
      <c r="J49" s="264"/>
      <c r="K49" s="225"/>
      <c r="L49" s="272"/>
      <c r="M49" s="433"/>
      <c r="N49" s="318"/>
      <c r="O49" s="318"/>
      <c r="P49" s="318"/>
      <c r="Q49" s="318"/>
      <c r="R49" s="318"/>
      <c r="T49" s="322">
        <v>0.96</v>
      </c>
    </row>
    <row r="50" spans="1:20">
      <c r="A50" s="613"/>
      <c r="B50" s="235" t="s">
        <v>114</v>
      </c>
      <c r="C50" s="323" t="s">
        <v>115</v>
      </c>
      <c r="D50" s="324">
        <v>3.52</v>
      </c>
      <c r="E50" s="324">
        <f>E49*D50</f>
        <v>19.993600000000004</v>
      </c>
      <c r="F50" s="317"/>
      <c r="G50" s="225"/>
      <c r="H50" s="317"/>
      <c r="I50" s="225"/>
      <c r="J50" s="264"/>
      <c r="K50" s="225"/>
      <c r="L50" s="272"/>
      <c r="M50" s="433"/>
      <c r="N50" s="325">
        <f>I50/E49</f>
        <v>0</v>
      </c>
      <c r="O50" s="318"/>
      <c r="P50" s="318"/>
      <c r="Q50" s="318"/>
      <c r="R50" s="318"/>
      <c r="T50" s="326">
        <v>3.3792</v>
      </c>
    </row>
    <row r="51" spans="1:20">
      <c r="A51" s="613"/>
      <c r="B51" s="235" t="s">
        <v>20</v>
      </c>
      <c r="C51" s="323" t="s">
        <v>11</v>
      </c>
      <c r="D51" s="324">
        <v>1.06</v>
      </c>
      <c r="E51" s="324">
        <f>E49*D51</f>
        <v>6.0208000000000022</v>
      </c>
      <c r="F51" s="317"/>
      <c r="G51" s="225"/>
      <c r="H51" s="225"/>
      <c r="I51" s="225"/>
      <c r="J51" s="264"/>
      <c r="K51" s="225"/>
      <c r="L51" s="272"/>
      <c r="M51" s="433"/>
      <c r="N51" s="318"/>
      <c r="O51" s="318"/>
      <c r="P51" s="318"/>
      <c r="Q51" s="318"/>
      <c r="R51" s="318"/>
      <c r="T51" s="326">
        <v>1.0176000000000001</v>
      </c>
    </row>
    <row r="52" spans="1:20">
      <c r="A52" s="613"/>
      <c r="B52" s="235" t="s">
        <v>144</v>
      </c>
      <c r="C52" s="323" t="s">
        <v>6</v>
      </c>
      <c r="D52" s="324">
        <f>0.18+0.09+0.97</f>
        <v>1.24</v>
      </c>
      <c r="E52" s="324">
        <f>E49*D52</f>
        <v>7.0432000000000015</v>
      </c>
      <c r="F52" s="317"/>
      <c r="G52" s="225"/>
      <c r="H52" s="225"/>
      <c r="I52" s="225"/>
      <c r="J52" s="264"/>
      <c r="K52" s="225"/>
      <c r="L52" s="272"/>
      <c r="M52" s="433"/>
      <c r="N52" s="318"/>
      <c r="O52" s="318"/>
      <c r="P52" s="318"/>
      <c r="Q52" s="318"/>
      <c r="R52" s="318"/>
      <c r="T52" s="326">
        <v>1.1903999999999999</v>
      </c>
    </row>
    <row r="53" spans="1:20">
      <c r="A53" s="611"/>
      <c r="B53" s="235" t="s">
        <v>18</v>
      </c>
      <c r="C53" s="323" t="s">
        <v>11</v>
      </c>
      <c r="D53" s="324">
        <v>0.02</v>
      </c>
      <c r="E53" s="324">
        <f>E49*D53</f>
        <v>0.11360000000000003</v>
      </c>
      <c r="F53" s="317"/>
      <c r="G53" s="225"/>
      <c r="H53" s="225"/>
      <c r="I53" s="225"/>
      <c r="J53" s="264"/>
      <c r="K53" s="225"/>
      <c r="L53" s="272"/>
      <c r="M53" s="433"/>
      <c r="N53" s="318"/>
      <c r="O53" s="318"/>
      <c r="P53" s="318"/>
      <c r="Q53" s="318"/>
      <c r="R53" s="318"/>
      <c r="T53" s="326">
        <v>1.9199999999999998E-2</v>
      </c>
    </row>
    <row r="54" spans="1:20" ht="31.5">
      <c r="A54" s="604" t="s">
        <v>58</v>
      </c>
      <c r="B54" s="47" t="s">
        <v>145</v>
      </c>
      <c r="C54" s="163" t="s">
        <v>6</v>
      </c>
      <c r="D54" s="226"/>
      <c r="E54" s="187">
        <f>(0.3*0.6+0.3*0.7)*E46</f>
        <v>27.69</v>
      </c>
      <c r="F54" s="225"/>
      <c r="G54" s="225"/>
      <c r="H54" s="225"/>
      <c r="I54" s="225"/>
      <c r="J54" s="225"/>
      <c r="K54" s="225"/>
      <c r="L54" s="272"/>
      <c r="M54" s="433"/>
      <c r="N54" s="318"/>
      <c r="O54" s="318"/>
      <c r="P54" s="318"/>
      <c r="Q54" s="318"/>
      <c r="R54" s="318"/>
      <c r="T54" s="322">
        <v>3.84</v>
      </c>
    </row>
    <row r="55" spans="1:20">
      <c r="A55" s="605"/>
      <c r="B55" s="50" t="s">
        <v>33</v>
      </c>
      <c r="C55" s="60" t="s">
        <v>15</v>
      </c>
      <c r="D55" s="327">
        <v>3.78</v>
      </c>
      <c r="E55" s="327">
        <f>D55*E54</f>
        <v>104.6682</v>
      </c>
      <c r="F55" s="225"/>
      <c r="G55" s="225"/>
      <c r="H55" s="225"/>
      <c r="I55" s="225"/>
      <c r="J55" s="225"/>
      <c r="K55" s="225"/>
      <c r="L55" s="272"/>
      <c r="M55" s="433"/>
      <c r="N55" s="325">
        <f>I55/E54</f>
        <v>0</v>
      </c>
      <c r="O55" s="318"/>
      <c r="P55" s="318"/>
      <c r="Q55" s="318"/>
      <c r="R55" s="318"/>
      <c r="T55" s="328">
        <v>14.515199999999998</v>
      </c>
    </row>
    <row r="56" spans="1:20">
      <c r="A56" s="605"/>
      <c r="B56" s="50" t="s">
        <v>14</v>
      </c>
      <c r="C56" s="60" t="s">
        <v>11</v>
      </c>
      <c r="D56" s="327">
        <v>0.92</v>
      </c>
      <c r="E56" s="327">
        <f>D56*E54</f>
        <v>25.474800000000002</v>
      </c>
      <c r="F56" s="225"/>
      <c r="G56" s="225"/>
      <c r="H56" s="225"/>
      <c r="I56" s="225"/>
      <c r="J56" s="225"/>
      <c r="K56" s="225"/>
      <c r="L56" s="272"/>
      <c r="M56" s="433"/>
      <c r="N56" s="318"/>
      <c r="O56" s="318"/>
      <c r="P56" s="318"/>
      <c r="Q56" s="318"/>
      <c r="R56" s="318"/>
      <c r="T56" s="328">
        <v>3.5327999999999999</v>
      </c>
    </row>
    <row r="57" spans="1:20">
      <c r="A57" s="605"/>
      <c r="B57" s="50" t="s">
        <v>100</v>
      </c>
      <c r="C57" s="60" t="s">
        <v>6</v>
      </c>
      <c r="D57" s="327">
        <v>1.0149999999999999</v>
      </c>
      <c r="E57" s="327">
        <f>D57*E54</f>
        <v>28.105349999999998</v>
      </c>
      <c r="F57" s="225"/>
      <c r="G57" s="225"/>
      <c r="H57" s="225"/>
      <c r="I57" s="225"/>
      <c r="J57" s="225"/>
      <c r="K57" s="225"/>
      <c r="L57" s="272"/>
      <c r="M57" s="433"/>
      <c r="N57" s="318"/>
      <c r="O57" s="318"/>
      <c r="P57" s="318"/>
      <c r="Q57" s="318"/>
      <c r="R57" s="318"/>
      <c r="T57" s="328">
        <v>3.8975999999999993</v>
      </c>
    </row>
    <row r="58" spans="1:20">
      <c r="A58" s="605"/>
      <c r="B58" s="50" t="s">
        <v>146</v>
      </c>
      <c r="C58" s="60" t="s">
        <v>7</v>
      </c>
      <c r="D58" s="327">
        <v>0.70299999999999996</v>
      </c>
      <c r="E58" s="327">
        <f>D58*E54</f>
        <v>19.466069999999998</v>
      </c>
      <c r="F58" s="225"/>
      <c r="G58" s="225"/>
      <c r="H58" s="225"/>
      <c r="I58" s="225"/>
      <c r="J58" s="225"/>
      <c r="K58" s="225"/>
      <c r="L58" s="272"/>
      <c r="M58" s="433"/>
      <c r="N58" s="318"/>
      <c r="O58" s="318"/>
      <c r="P58" s="318"/>
      <c r="Q58" s="318"/>
      <c r="R58" s="318"/>
      <c r="T58" s="328">
        <v>2.6995199999999997</v>
      </c>
    </row>
    <row r="59" spans="1:20">
      <c r="A59" s="605"/>
      <c r="B59" s="50" t="s">
        <v>116</v>
      </c>
      <c r="C59" s="60" t="s">
        <v>6</v>
      </c>
      <c r="D59" s="327">
        <v>1.14E-2</v>
      </c>
      <c r="E59" s="327">
        <f>D59*E54</f>
        <v>0.315666</v>
      </c>
      <c r="F59" s="225"/>
      <c r="G59" s="225"/>
      <c r="H59" s="225"/>
      <c r="I59" s="225"/>
      <c r="J59" s="225"/>
      <c r="K59" s="225"/>
      <c r="L59" s="272"/>
      <c r="M59" s="433"/>
      <c r="N59" s="318"/>
      <c r="O59" s="318"/>
      <c r="P59" s="318"/>
      <c r="Q59" s="318"/>
      <c r="R59" s="318"/>
      <c r="T59" s="328">
        <v>4.3776000000000002E-2</v>
      </c>
    </row>
    <row r="60" spans="1:20">
      <c r="A60" s="605"/>
      <c r="B60" s="50" t="s">
        <v>21</v>
      </c>
      <c r="C60" s="60" t="s">
        <v>11</v>
      </c>
      <c r="D60" s="327">
        <v>0.6</v>
      </c>
      <c r="E60" s="327">
        <f>D60*E54</f>
        <v>16.614000000000001</v>
      </c>
      <c r="F60" s="225"/>
      <c r="G60" s="225"/>
      <c r="H60" s="225"/>
      <c r="I60" s="225"/>
      <c r="J60" s="225"/>
      <c r="K60" s="225"/>
      <c r="L60" s="272"/>
      <c r="M60" s="433"/>
      <c r="N60" s="318"/>
      <c r="O60" s="318"/>
      <c r="P60" s="318"/>
      <c r="Q60" s="318"/>
      <c r="R60" s="318"/>
      <c r="T60" s="328">
        <v>2.3039999999999998</v>
      </c>
    </row>
    <row r="61" spans="1:20" ht="31.5">
      <c r="A61" s="606"/>
      <c r="B61" s="237" t="s">
        <v>147</v>
      </c>
      <c r="C61" s="163" t="s">
        <v>9</v>
      </c>
      <c r="D61" s="329" t="s">
        <v>148</v>
      </c>
      <c r="E61" s="330">
        <f>(  (E46/0.15+1)*(0.6+1.1*2)+(5+6*2)*E46   )*1.05*0.395/1000</f>
        <v>1.0514465500000001</v>
      </c>
      <c r="F61" s="295"/>
      <c r="G61" s="225"/>
      <c r="H61" s="295"/>
      <c r="I61" s="295"/>
      <c r="J61" s="295"/>
      <c r="K61" s="295"/>
      <c r="L61" s="369"/>
      <c r="M61" s="433"/>
      <c r="N61" s="318"/>
      <c r="O61" s="318"/>
      <c r="P61" s="318"/>
      <c r="Q61" s="318"/>
      <c r="R61" s="318"/>
      <c r="T61" s="331"/>
    </row>
    <row r="62" spans="1:20">
      <c r="A62" s="614" t="s">
        <v>23</v>
      </c>
      <c r="B62" s="248" t="s">
        <v>117</v>
      </c>
      <c r="C62" s="20" t="s">
        <v>6</v>
      </c>
      <c r="D62" s="332"/>
      <c r="E62" s="239">
        <f>E47-E49-(0.6*0.3+0.3*0.4)*E46</f>
        <v>29.820000000000004</v>
      </c>
      <c r="F62" s="240"/>
      <c r="G62" s="240"/>
      <c r="H62" s="240"/>
      <c r="I62" s="240"/>
      <c r="J62" s="240"/>
      <c r="K62" s="240"/>
      <c r="L62" s="274"/>
      <c r="M62" s="433"/>
      <c r="N62" s="318"/>
      <c r="O62" s="318"/>
      <c r="P62" s="318"/>
      <c r="Q62" s="318"/>
      <c r="R62" s="318"/>
      <c r="T62" s="333">
        <v>0.96</v>
      </c>
    </row>
    <row r="63" spans="1:20">
      <c r="A63" s="615"/>
      <c r="B63" s="45" t="s">
        <v>13</v>
      </c>
      <c r="C63" s="106" t="s">
        <v>15</v>
      </c>
      <c r="D63" s="332">
        <v>1.21</v>
      </c>
      <c r="E63" s="241">
        <f>E62*D63</f>
        <v>36.0822</v>
      </c>
      <c r="F63" s="240"/>
      <c r="G63" s="240"/>
      <c r="H63" s="240"/>
      <c r="I63" s="240"/>
      <c r="J63" s="240"/>
      <c r="K63" s="240"/>
      <c r="L63" s="274"/>
      <c r="M63" s="433"/>
      <c r="N63" s="325">
        <f>I63/E62</f>
        <v>0</v>
      </c>
      <c r="O63" s="318"/>
      <c r="P63" s="318"/>
      <c r="Q63" s="318"/>
      <c r="R63" s="318"/>
      <c r="T63" s="334">
        <v>1.1616</v>
      </c>
    </row>
    <row r="64" spans="1:20" ht="31.5">
      <c r="A64" s="608" t="s">
        <v>53</v>
      </c>
      <c r="B64" s="83" t="s">
        <v>118</v>
      </c>
      <c r="C64" s="163" t="s">
        <v>9</v>
      </c>
      <c r="D64" s="227"/>
      <c r="E64" s="230">
        <f>(E47-E62)*1.95</f>
        <v>52.610999999999997</v>
      </c>
      <c r="F64" s="229"/>
      <c r="G64" s="225"/>
      <c r="H64" s="229"/>
      <c r="I64" s="225"/>
      <c r="J64" s="229"/>
      <c r="K64" s="225"/>
      <c r="L64" s="272"/>
      <c r="M64" s="433"/>
      <c r="N64" s="318"/>
      <c r="O64" s="318"/>
      <c r="P64" s="318"/>
      <c r="Q64" s="318"/>
      <c r="R64" s="318"/>
      <c r="T64" s="335"/>
    </row>
    <row r="65" spans="1:20">
      <c r="A65" s="608"/>
      <c r="B65" s="84" t="s">
        <v>22</v>
      </c>
      <c r="C65" s="26" t="s">
        <v>15</v>
      </c>
      <c r="D65" s="227">
        <v>0.53</v>
      </c>
      <c r="E65" s="228">
        <f>E64*D65</f>
        <v>27.88383</v>
      </c>
      <c r="F65" s="229"/>
      <c r="G65" s="225"/>
      <c r="H65" s="229"/>
      <c r="I65" s="225"/>
      <c r="J65" s="229"/>
      <c r="K65" s="225"/>
      <c r="L65" s="272"/>
      <c r="M65" s="433"/>
      <c r="N65" s="325">
        <f>I65/E64</f>
        <v>0</v>
      </c>
      <c r="O65" s="318"/>
      <c r="P65" s="318"/>
      <c r="Q65" s="318"/>
      <c r="R65" s="318"/>
      <c r="T65" s="335"/>
    </row>
    <row r="66" spans="1:20" ht="31.5">
      <c r="A66" s="376" t="s">
        <v>59</v>
      </c>
      <c r="B66" s="248" t="s">
        <v>135</v>
      </c>
      <c r="C66" s="163" t="s">
        <v>9</v>
      </c>
      <c r="D66" s="227"/>
      <c r="E66" s="230">
        <f>E64</f>
        <v>52.610999999999997</v>
      </c>
      <c r="F66" s="229"/>
      <c r="G66" s="225"/>
      <c r="H66" s="229"/>
      <c r="I66" s="225"/>
      <c r="J66" s="229"/>
      <c r="K66" s="225"/>
      <c r="L66" s="272"/>
      <c r="M66" s="433"/>
      <c r="N66" s="318"/>
      <c r="O66" s="318"/>
      <c r="P66" s="318"/>
      <c r="Q66" s="318"/>
      <c r="R66" s="318"/>
      <c r="T66" s="335"/>
    </row>
    <row r="67" spans="1:20" ht="31.5">
      <c r="A67" s="604" t="s">
        <v>24</v>
      </c>
      <c r="B67" s="189" t="s">
        <v>149</v>
      </c>
      <c r="C67" s="65" t="s">
        <v>41</v>
      </c>
      <c r="D67" s="336"/>
      <c r="E67" s="337">
        <f>E46</f>
        <v>71</v>
      </c>
      <c r="F67" s="225"/>
      <c r="G67" s="225"/>
      <c r="H67" s="225"/>
      <c r="I67" s="225"/>
      <c r="J67" s="225"/>
      <c r="K67" s="225"/>
      <c r="L67" s="272"/>
      <c r="M67" s="433"/>
      <c r="N67" s="318"/>
      <c r="O67" s="318"/>
      <c r="P67" s="318"/>
      <c r="Q67" s="318"/>
      <c r="R67" s="318"/>
      <c r="T67" s="338">
        <v>16</v>
      </c>
    </row>
    <row r="68" spans="1:20">
      <c r="A68" s="605"/>
      <c r="B68" s="199" t="s">
        <v>13</v>
      </c>
      <c r="C68" s="290" t="s">
        <v>15</v>
      </c>
      <c r="D68" s="336">
        <v>1.58</v>
      </c>
      <c r="E68" s="336">
        <f>E67*D68</f>
        <v>112.18</v>
      </c>
      <c r="F68" s="225"/>
      <c r="G68" s="225"/>
      <c r="H68" s="225"/>
      <c r="I68" s="225"/>
      <c r="J68" s="225"/>
      <c r="K68" s="225"/>
      <c r="L68" s="272"/>
      <c r="M68" s="433"/>
      <c r="N68" s="325">
        <f>I68/E67</f>
        <v>0</v>
      </c>
      <c r="O68" s="318"/>
      <c r="P68" s="318"/>
      <c r="Q68" s="318"/>
      <c r="R68" s="318"/>
      <c r="T68" s="339">
        <v>25.28</v>
      </c>
    </row>
    <row r="69" spans="1:20">
      <c r="A69" s="605"/>
      <c r="B69" s="48" t="s">
        <v>120</v>
      </c>
      <c r="C69" s="290" t="s">
        <v>16</v>
      </c>
      <c r="D69" s="340">
        <f>20.5/100</f>
        <v>0.20499999999999999</v>
      </c>
      <c r="E69" s="340">
        <f>E67*D69</f>
        <v>14.555</v>
      </c>
      <c r="F69" s="225"/>
      <c r="G69" s="225"/>
      <c r="H69" s="225"/>
      <c r="I69" s="225"/>
      <c r="J69" s="225"/>
      <c r="K69" s="225"/>
      <c r="L69" s="272"/>
      <c r="M69" s="433"/>
      <c r="N69" s="318"/>
      <c r="O69" s="318"/>
      <c r="P69" s="318"/>
      <c r="Q69" s="318"/>
      <c r="R69" s="318"/>
      <c r="T69" s="341">
        <v>3.28</v>
      </c>
    </row>
    <row r="70" spans="1:20">
      <c r="A70" s="605"/>
      <c r="B70" s="48" t="s">
        <v>14</v>
      </c>
      <c r="C70" s="290" t="s">
        <v>11</v>
      </c>
      <c r="D70" s="340">
        <f>4*0.01</f>
        <v>0.04</v>
      </c>
      <c r="E70" s="340">
        <f>E67*D70</f>
        <v>2.84</v>
      </c>
      <c r="F70" s="225"/>
      <c r="G70" s="225"/>
      <c r="H70" s="225"/>
      <c r="I70" s="225"/>
      <c r="J70" s="225"/>
      <c r="K70" s="225"/>
      <c r="L70" s="272"/>
      <c r="M70" s="433"/>
      <c r="N70" s="318"/>
      <c r="O70" s="318"/>
      <c r="P70" s="318"/>
      <c r="Q70" s="318"/>
      <c r="R70" s="318"/>
      <c r="T70" s="341">
        <v>0.64</v>
      </c>
    </row>
    <row r="71" spans="1:20">
      <c r="A71" s="605"/>
      <c r="B71" s="207" t="s">
        <v>150</v>
      </c>
      <c r="C71" s="285" t="s">
        <v>6</v>
      </c>
      <c r="D71" s="340">
        <f>1.41*0.01</f>
        <v>1.41E-2</v>
      </c>
      <c r="E71" s="340">
        <f>E67*D71</f>
        <v>1.0010999999999999</v>
      </c>
      <c r="F71" s="225"/>
      <c r="G71" s="225"/>
      <c r="H71" s="225"/>
      <c r="I71" s="225"/>
      <c r="J71" s="225"/>
      <c r="K71" s="225"/>
      <c r="L71" s="272"/>
      <c r="M71" s="433"/>
      <c r="N71" s="318"/>
      <c r="O71" s="318"/>
      <c r="P71" s="318"/>
      <c r="Q71" s="318"/>
      <c r="R71" s="318"/>
      <c r="T71" s="341">
        <v>0.22559999999999999</v>
      </c>
    </row>
    <row r="72" spans="1:20">
      <c r="A72" s="605"/>
      <c r="B72" s="199" t="s">
        <v>151</v>
      </c>
      <c r="C72" s="58" t="s">
        <v>7</v>
      </c>
      <c r="D72" s="342">
        <v>1</v>
      </c>
      <c r="E72" s="343">
        <f>E67*1*D72</f>
        <v>71</v>
      </c>
      <c r="F72" s="225"/>
      <c r="G72" s="225"/>
      <c r="H72" s="225"/>
      <c r="I72" s="225"/>
      <c r="J72" s="225"/>
      <c r="K72" s="225"/>
      <c r="L72" s="272"/>
      <c r="M72" s="433"/>
      <c r="N72" s="318"/>
      <c r="O72" s="318"/>
      <c r="P72" s="318"/>
      <c r="Q72" s="318"/>
      <c r="R72" s="318"/>
      <c r="T72" s="339">
        <v>16</v>
      </c>
    </row>
    <row r="73" spans="1:20">
      <c r="A73" s="605"/>
      <c r="B73" s="207" t="s">
        <v>121</v>
      </c>
      <c r="C73" s="290" t="s">
        <v>42</v>
      </c>
      <c r="D73" s="340">
        <f>0.002*1000*0.01</f>
        <v>0.02</v>
      </c>
      <c r="E73" s="340">
        <f>E67*D73</f>
        <v>1.42</v>
      </c>
      <c r="F73" s="225"/>
      <c r="G73" s="225"/>
      <c r="H73" s="225"/>
      <c r="I73" s="225"/>
      <c r="J73" s="225"/>
      <c r="K73" s="225"/>
      <c r="L73" s="272"/>
      <c r="M73" s="433"/>
      <c r="N73" s="318"/>
      <c r="O73" s="318"/>
      <c r="P73" s="318"/>
      <c r="Q73" s="318"/>
      <c r="R73" s="318"/>
      <c r="T73" s="341">
        <v>0.32</v>
      </c>
    </row>
    <row r="74" spans="1:20">
      <c r="A74" s="606"/>
      <c r="B74" s="48" t="s">
        <v>21</v>
      </c>
      <c r="C74" s="290" t="s">
        <v>11</v>
      </c>
      <c r="D74" s="340">
        <f>6*0.01</f>
        <v>0.06</v>
      </c>
      <c r="E74" s="340">
        <f>E67*D74</f>
        <v>4.26</v>
      </c>
      <c r="F74" s="225"/>
      <c r="G74" s="225"/>
      <c r="H74" s="225"/>
      <c r="I74" s="225"/>
      <c r="J74" s="225"/>
      <c r="K74" s="225"/>
      <c r="L74" s="272"/>
      <c r="M74" s="433"/>
      <c r="N74" s="318"/>
      <c r="O74" s="318"/>
      <c r="P74" s="318"/>
      <c r="Q74" s="318"/>
      <c r="R74" s="318"/>
      <c r="T74" s="341">
        <v>0.96</v>
      </c>
    </row>
    <row r="75" spans="1:20" customFormat="1">
      <c r="A75" s="614" t="s">
        <v>31</v>
      </c>
      <c r="B75" s="67" t="s">
        <v>152</v>
      </c>
      <c r="C75" s="19" t="s">
        <v>4</v>
      </c>
      <c r="D75" s="24"/>
      <c r="E75" s="100">
        <v>2</v>
      </c>
      <c r="F75" s="81"/>
      <c r="G75" s="81"/>
      <c r="H75" s="81"/>
      <c r="I75" s="81"/>
      <c r="J75" s="81"/>
      <c r="K75" s="81"/>
      <c r="L75" s="157"/>
      <c r="M75" s="433"/>
      <c r="N75" s="318"/>
      <c r="O75" s="318"/>
      <c r="P75" s="318"/>
      <c r="Q75" s="318"/>
      <c r="R75" s="318"/>
      <c r="T75" s="344">
        <v>3</v>
      </c>
    </row>
    <row r="76" spans="1:20" customFormat="1">
      <c r="A76" s="616"/>
      <c r="B76" s="52" t="s">
        <v>13</v>
      </c>
      <c r="C76" s="22" t="s">
        <v>15</v>
      </c>
      <c r="D76" s="32">
        <f>1720*0.01</f>
        <v>17.2</v>
      </c>
      <c r="E76" s="70">
        <f>E75*D76</f>
        <v>34.4</v>
      </c>
      <c r="F76" s="81"/>
      <c r="G76" s="81"/>
      <c r="H76" s="28"/>
      <c r="I76" s="81"/>
      <c r="J76" s="81"/>
      <c r="K76" s="81"/>
      <c r="L76" s="157"/>
      <c r="M76" s="433"/>
      <c r="N76" s="355">
        <f>I76/E75</f>
        <v>0</v>
      </c>
      <c r="O76" s="318"/>
      <c r="P76" s="318"/>
      <c r="Q76" s="318"/>
      <c r="R76" s="318"/>
      <c r="T76" s="121">
        <v>51.599999999999994</v>
      </c>
    </row>
    <row r="77" spans="1:20" customFormat="1">
      <c r="A77" s="616"/>
      <c r="B77" s="51" t="s">
        <v>120</v>
      </c>
      <c r="C77" s="22" t="s">
        <v>48</v>
      </c>
      <c r="D77" s="32">
        <f>91.3/100</f>
        <v>0.91299999999999992</v>
      </c>
      <c r="E77" s="61">
        <f>E75*D77</f>
        <v>1.8259999999999998</v>
      </c>
      <c r="F77" s="81"/>
      <c r="G77" s="81"/>
      <c r="H77" s="81"/>
      <c r="I77" s="81"/>
      <c r="J77" s="28"/>
      <c r="K77" s="81"/>
      <c r="L77" s="157"/>
      <c r="M77" s="433"/>
      <c r="N77" s="318"/>
      <c r="O77" s="318"/>
      <c r="P77" s="318"/>
      <c r="Q77" s="318"/>
      <c r="R77" s="318"/>
      <c r="T77" s="345">
        <v>2.7389999999999999</v>
      </c>
    </row>
    <row r="78" spans="1:20" customFormat="1">
      <c r="A78" s="616"/>
      <c r="B78" s="51" t="s">
        <v>14</v>
      </c>
      <c r="C78" s="22" t="s">
        <v>11</v>
      </c>
      <c r="D78" s="32">
        <f>70*0.01</f>
        <v>0.70000000000000007</v>
      </c>
      <c r="E78" s="61">
        <f>E75*D78</f>
        <v>1.4000000000000001</v>
      </c>
      <c r="F78" s="81"/>
      <c r="G78" s="81"/>
      <c r="H78" s="81"/>
      <c r="I78" s="81"/>
      <c r="J78" s="28"/>
      <c r="K78" s="81"/>
      <c r="L78" s="157"/>
      <c r="M78" s="433"/>
      <c r="N78" s="318"/>
      <c r="O78" s="318"/>
      <c r="P78" s="318"/>
      <c r="Q78" s="318"/>
      <c r="R78" s="318"/>
      <c r="T78" s="345">
        <v>2.1</v>
      </c>
    </row>
    <row r="79" spans="1:20" customFormat="1">
      <c r="A79" s="616"/>
      <c r="B79" s="52" t="s">
        <v>283</v>
      </c>
      <c r="C79" s="16" t="s">
        <v>7</v>
      </c>
      <c r="D79" s="32"/>
      <c r="E79" s="100">
        <f>1*1*E75</f>
        <v>2</v>
      </c>
      <c r="F79" s="28"/>
      <c r="G79" s="81"/>
      <c r="H79" s="81"/>
      <c r="I79" s="81"/>
      <c r="J79" s="81"/>
      <c r="K79" s="81"/>
      <c r="L79" s="157"/>
      <c r="M79" s="433"/>
      <c r="N79" s="318"/>
      <c r="O79" s="318"/>
      <c r="P79" s="318"/>
      <c r="Q79" s="318"/>
      <c r="R79" s="318"/>
      <c r="T79" s="344">
        <v>5</v>
      </c>
    </row>
    <row r="80" spans="1:20" customFormat="1">
      <c r="A80" s="616"/>
      <c r="B80" s="52" t="s">
        <v>150</v>
      </c>
      <c r="C80" s="16" t="s">
        <v>50</v>
      </c>
      <c r="D80" s="32">
        <f>29.7*0.01</f>
        <v>0.29699999999999999</v>
      </c>
      <c r="E80" s="61">
        <f>E75*D80</f>
        <v>0.59399999999999997</v>
      </c>
      <c r="F80" s="28"/>
      <c r="G80" s="81"/>
      <c r="H80" s="81"/>
      <c r="I80" s="81"/>
      <c r="J80" s="81"/>
      <c r="K80" s="81"/>
      <c r="L80" s="157"/>
      <c r="M80" s="433"/>
      <c r="N80" s="318"/>
      <c r="O80" s="318"/>
      <c r="P80" s="318"/>
      <c r="Q80" s="318"/>
      <c r="R80" s="318"/>
      <c r="T80" s="345">
        <v>0.89100000000000001</v>
      </c>
    </row>
    <row r="81" spans="1:20" customFormat="1">
      <c r="A81" s="616"/>
      <c r="B81" s="52" t="s">
        <v>153</v>
      </c>
      <c r="C81" s="16" t="s">
        <v>154</v>
      </c>
      <c r="D81" s="32">
        <f>0.16*0.01</f>
        <v>1.6000000000000001E-3</v>
      </c>
      <c r="E81" s="70">
        <f>E75*D81</f>
        <v>3.2000000000000002E-3</v>
      </c>
      <c r="F81" s="28"/>
      <c r="G81" s="81"/>
      <c r="H81" s="81"/>
      <c r="I81" s="81"/>
      <c r="J81" s="81"/>
      <c r="K81" s="81"/>
      <c r="L81" s="157"/>
      <c r="M81" s="433"/>
      <c r="N81" s="318"/>
      <c r="O81" s="318"/>
      <c r="P81" s="318"/>
      <c r="Q81" s="318"/>
      <c r="R81" s="318"/>
      <c r="T81" s="121">
        <v>4.8000000000000004E-3</v>
      </c>
    </row>
    <row r="82" spans="1:20" customFormat="1">
      <c r="A82" s="616"/>
      <c r="B82" s="52" t="s">
        <v>155</v>
      </c>
      <c r="C82" s="16" t="s">
        <v>42</v>
      </c>
      <c r="D82" s="32">
        <v>0.2</v>
      </c>
      <c r="E82" s="70">
        <f>E75*D82</f>
        <v>0.4</v>
      </c>
      <c r="F82" s="28"/>
      <c r="G82" s="81"/>
      <c r="H82" s="81"/>
      <c r="I82" s="81"/>
      <c r="J82" s="81"/>
      <c r="K82" s="81"/>
      <c r="L82" s="157"/>
      <c r="M82" s="433"/>
      <c r="N82" s="318"/>
      <c r="O82" s="318"/>
      <c r="P82" s="318"/>
      <c r="Q82" s="318"/>
      <c r="R82" s="318"/>
      <c r="T82" s="121">
        <v>0.60000000000000009</v>
      </c>
    </row>
    <row r="83" spans="1:20" customFormat="1">
      <c r="A83" s="615"/>
      <c r="B83" s="51" t="s">
        <v>21</v>
      </c>
      <c r="C83" s="22" t="s">
        <v>11</v>
      </c>
      <c r="D83" s="32">
        <f>20*0.01</f>
        <v>0.2</v>
      </c>
      <c r="E83" s="61">
        <f>E75*D83</f>
        <v>0.4</v>
      </c>
      <c r="F83" s="28"/>
      <c r="G83" s="81"/>
      <c r="H83" s="81"/>
      <c r="I83" s="81"/>
      <c r="J83" s="81"/>
      <c r="K83" s="81"/>
      <c r="L83" s="157"/>
      <c r="M83" s="433"/>
      <c r="N83" s="318"/>
      <c r="O83" s="318"/>
      <c r="P83" s="318"/>
      <c r="Q83" s="318"/>
      <c r="R83" s="318"/>
      <c r="T83" s="345">
        <v>0.60000000000000009</v>
      </c>
    </row>
    <row r="84" spans="1:20" customFormat="1" ht="31.5">
      <c r="A84" s="604" t="s">
        <v>61</v>
      </c>
      <c r="B84" s="189" t="s">
        <v>122</v>
      </c>
      <c r="C84" s="65" t="s">
        <v>7</v>
      </c>
      <c r="D84" s="336"/>
      <c r="E84" s="337">
        <f>E72*2+E79*2</f>
        <v>146</v>
      </c>
      <c r="F84" s="225"/>
      <c r="G84" s="225"/>
      <c r="H84" s="225"/>
      <c r="I84" s="225"/>
      <c r="J84" s="225"/>
      <c r="K84" s="225"/>
      <c r="L84" s="272"/>
      <c r="M84" s="434"/>
      <c r="N84" s="325"/>
      <c r="O84" s="325"/>
      <c r="P84" s="325"/>
      <c r="Q84" s="325"/>
      <c r="R84" s="325"/>
      <c r="T84" s="338">
        <v>21</v>
      </c>
    </row>
    <row r="85" spans="1:20" customFormat="1">
      <c r="A85" s="605"/>
      <c r="B85" s="346" t="s">
        <v>13</v>
      </c>
      <c r="C85" s="206" t="s">
        <v>15</v>
      </c>
      <c r="D85" s="362">
        <f>68*0.01</f>
        <v>0.68</v>
      </c>
      <c r="E85" s="347">
        <f>E84*D85</f>
        <v>99.28</v>
      </c>
      <c r="F85" s="295"/>
      <c r="G85" s="304"/>
      <c r="H85" s="295"/>
      <c r="I85" s="304"/>
      <c r="J85" s="348"/>
      <c r="K85" s="304"/>
      <c r="L85" s="314"/>
      <c r="M85" s="434"/>
      <c r="N85" s="325">
        <f>I85/E84</f>
        <v>0</v>
      </c>
      <c r="O85" s="325"/>
      <c r="P85" s="325"/>
      <c r="Q85" s="325"/>
      <c r="R85" s="325"/>
      <c r="T85" s="349">
        <v>14.280000000000001</v>
      </c>
    </row>
    <row r="86" spans="1:20" customFormat="1">
      <c r="A86" s="605"/>
      <c r="B86" s="199" t="s">
        <v>14</v>
      </c>
      <c r="C86" s="58" t="s">
        <v>11</v>
      </c>
      <c r="D86" s="298">
        <f>0.03*0.01</f>
        <v>2.9999999999999997E-4</v>
      </c>
      <c r="E86" s="298">
        <f>E84*D86</f>
        <v>4.3799999999999999E-2</v>
      </c>
      <c r="F86" s="295"/>
      <c r="G86" s="304"/>
      <c r="H86" s="295"/>
      <c r="I86" s="304"/>
      <c r="J86" s="304"/>
      <c r="K86" s="295"/>
      <c r="L86" s="314"/>
      <c r="M86" s="434"/>
      <c r="N86" s="325"/>
      <c r="O86" s="325"/>
      <c r="P86" s="325"/>
      <c r="Q86" s="325"/>
      <c r="R86" s="325"/>
      <c r="T86" s="335">
        <v>6.2999999999999992E-3</v>
      </c>
    </row>
    <row r="87" spans="1:20" customFormat="1">
      <c r="A87" s="605"/>
      <c r="B87" s="199" t="s">
        <v>98</v>
      </c>
      <c r="C87" s="350" t="s">
        <v>214</v>
      </c>
      <c r="D87" s="352">
        <v>0.35</v>
      </c>
      <c r="E87" s="352">
        <f>D87*E84</f>
        <v>51.099999999999994</v>
      </c>
      <c r="F87" s="295"/>
      <c r="G87" s="304"/>
      <c r="H87" s="295"/>
      <c r="I87" s="295"/>
      <c r="J87" s="295"/>
      <c r="K87" s="295"/>
      <c r="L87" s="314"/>
      <c r="M87" s="434"/>
      <c r="N87" s="325"/>
      <c r="O87" s="325"/>
      <c r="P87" s="325"/>
      <c r="Q87" s="325"/>
      <c r="R87" s="325"/>
      <c r="T87" s="339">
        <v>7.35</v>
      </c>
    </row>
    <row r="88" spans="1:20" customFormat="1">
      <c r="A88" s="605"/>
      <c r="B88" s="199" t="s">
        <v>119</v>
      </c>
      <c r="C88" s="350" t="s">
        <v>214</v>
      </c>
      <c r="D88" s="352">
        <v>2.7E-2</v>
      </c>
      <c r="E88" s="352">
        <f>D88*E84</f>
        <v>3.9420000000000002</v>
      </c>
      <c r="F88" s="295"/>
      <c r="G88" s="304"/>
      <c r="H88" s="295"/>
      <c r="I88" s="295"/>
      <c r="J88" s="295"/>
      <c r="K88" s="295"/>
      <c r="L88" s="314"/>
      <c r="M88" s="434"/>
      <c r="N88" s="325"/>
      <c r="O88" s="325"/>
      <c r="P88" s="325"/>
      <c r="Q88" s="325"/>
      <c r="R88" s="325"/>
      <c r="T88" s="339">
        <v>0.56699999999999995</v>
      </c>
    </row>
    <row r="89" spans="1:20" customFormat="1">
      <c r="A89" s="606"/>
      <c r="B89" s="199" t="s">
        <v>21</v>
      </c>
      <c r="C89" s="58" t="s">
        <v>11</v>
      </c>
      <c r="D89" s="298">
        <v>1.9E-3</v>
      </c>
      <c r="E89" s="298">
        <f>E84*D89</f>
        <v>0.27739999999999998</v>
      </c>
      <c r="F89" s="295"/>
      <c r="G89" s="304"/>
      <c r="H89" s="295"/>
      <c r="I89" s="295"/>
      <c r="J89" s="295"/>
      <c r="K89" s="295"/>
      <c r="L89" s="314"/>
      <c r="M89" s="434"/>
      <c r="N89" s="325"/>
      <c r="O89" s="325"/>
      <c r="P89" s="325"/>
      <c r="Q89" s="325"/>
      <c r="R89" s="325"/>
      <c r="T89" s="335">
        <v>3.9899999999999998E-2</v>
      </c>
    </row>
    <row r="90" spans="1:20" s="90" customFormat="1" ht="47.25">
      <c r="A90" s="604" t="s">
        <v>97</v>
      </c>
      <c r="B90" s="189" t="s">
        <v>156</v>
      </c>
      <c r="C90" s="65" t="s">
        <v>7</v>
      </c>
      <c r="D90" s="260"/>
      <c r="E90" s="41">
        <f>(0.35+0.4+0.35)*E46</f>
        <v>78.100000000000009</v>
      </c>
      <c r="F90" s="31"/>
      <c r="G90" s="31"/>
      <c r="H90" s="31"/>
      <c r="I90" s="31"/>
      <c r="J90" s="31"/>
      <c r="K90" s="31"/>
      <c r="L90" s="159"/>
      <c r="M90" s="353"/>
      <c r="N90" s="354"/>
    </row>
    <row r="91" spans="1:20" s="90" customFormat="1" ht="16.5">
      <c r="A91" s="605"/>
      <c r="B91" s="346" t="s">
        <v>13</v>
      </c>
      <c r="C91" s="206" t="s">
        <v>15</v>
      </c>
      <c r="D91" s="292">
        <v>10.199999999999999</v>
      </c>
      <c r="E91" s="202">
        <f>E90*D91</f>
        <v>796.62</v>
      </c>
      <c r="F91" s="31"/>
      <c r="G91" s="31"/>
      <c r="H91" s="31"/>
      <c r="I91" s="31"/>
      <c r="J91" s="31"/>
      <c r="K91" s="31"/>
      <c r="L91" s="159"/>
      <c r="M91" s="353"/>
      <c r="N91" s="355">
        <f>I91/E90</f>
        <v>0</v>
      </c>
    </row>
    <row r="92" spans="1:20" s="90" customFormat="1" ht="16.5">
      <c r="A92" s="605"/>
      <c r="B92" s="199" t="s">
        <v>20</v>
      </c>
      <c r="C92" s="58" t="s">
        <v>11</v>
      </c>
      <c r="D92" s="292">
        <v>0.15</v>
      </c>
      <c r="E92" s="40">
        <f>E90*D92</f>
        <v>11.715000000000002</v>
      </c>
      <c r="F92" s="31"/>
      <c r="G92" s="31"/>
      <c r="H92" s="31"/>
      <c r="I92" s="31"/>
      <c r="J92" s="31"/>
      <c r="K92" s="31"/>
      <c r="L92" s="159"/>
      <c r="M92" s="353"/>
      <c r="N92" s="354"/>
    </row>
    <row r="93" spans="1:20" s="90" customFormat="1" ht="16.5">
      <c r="A93" s="605"/>
      <c r="B93" s="199" t="s">
        <v>157</v>
      </c>
      <c r="C93" s="58" t="s">
        <v>7</v>
      </c>
      <c r="D93" s="292">
        <v>1.05</v>
      </c>
      <c r="E93" s="260">
        <f>E90*D93</f>
        <v>82.00500000000001</v>
      </c>
      <c r="F93" s="31"/>
      <c r="G93" s="31"/>
      <c r="H93" s="31"/>
      <c r="I93" s="31"/>
      <c r="J93" s="31"/>
      <c r="K93" s="31"/>
      <c r="L93" s="159"/>
      <c r="M93" s="353"/>
      <c r="N93" s="354"/>
    </row>
    <row r="94" spans="1:20" s="90" customFormat="1" ht="16.5">
      <c r="A94" s="605"/>
      <c r="B94" s="199" t="s">
        <v>38</v>
      </c>
      <c r="C94" s="58" t="s">
        <v>6</v>
      </c>
      <c r="D94" s="292">
        <v>3.5999999999999997E-2</v>
      </c>
      <c r="E94" s="260">
        <f>E90*D94</f>
        <v>2.8115999999999999</v>
      </c>
      <c r="F94" s="31"/>
      <c r="G94" s="31"/>
      <c r="H94" s="31"/>
      <c r="I94" s="31"/>
      <c r="J94" s="31"/>
      <c r="K94" s="31"/>
      <c r="L94" s="159"/>
      <c r="M94" s="353"/>
      <c r="N94" s="354"/>
    </row>
    <row r="95" spans="1:20" s="90" customFormat="1" ht="16.5">
      <c r="A95" s="606"/>
      <c r="B95" s="199" t="s">
        <v>18</v>
      </c>
      <c r="C95" s="58" t="s">
        <v>11</v>
      </c>
      <c r="D95" s="292">
        <v>0.09</v>
      </c>
      <c r="E95" s="260">
        <f>E90*D95</f>
        <v>7.0290000000000008</v>
      </c>
      <c r="F95" s="31"/>
      <c r="G95" s="31"/>
      <c r="H95" s="31"/>
      <c r="I95" s="31"/>
      <c r="J95" s="31"/>
      <c r="K95" s="31"/>
      <c r="L95" s="159"/>
      <c r="M95" s="88">
        <f>SUM(L46:L95)</f>
        <v>0</v>
      </c>
      <c r="N95" s="354"/>
    </row>
    <row r="96" spans="1:20" s="221" customFormat="1">
      <c r="A96" s="356"/>
      <c r="B96" s="82"/>
      <c r="C96" s="357"/>
      <c r="D96" s="297"/>
      <c r="E96" s="297"/>
      <c r="F96" s="358"/>
      <c r="G96" s="295"/>
      <c r="H96" s="295"/>
      <c r="I96" s="295"/>
      <c r="J96" s="295"/>
      <c r="K96" s="295"/>
      <c r="L96" s="314"/>
      <c r="M96" s="435"/>
      <c r="N96" s="184"/>
    </row>
    <row r="97" spans="1:14" s="122" customFormat="1">
      <c r="A97" s="440"/>
      <c r="B97" s="390" t="s">
        <v>159</v>
      </c>
      <c r="C97" s="85"/>
      <c r="D97" s="391"/>
      <c r="E97" s="392"/>
      <c r="F97" s="304"/>
      <c r="G97" s="304"/>
      <c r="H97" s="304"/>
      <c r="I97" s="304"/>
      <c r="J97" s="304"/>
      <c r="K97" s="304"/>
      <c r="L97" s="369"/>
      <c r="M97" s="436"/>
      <c r="N97" s="183"/>
    </row>
    <row r="98" spans="1:14" s="122" customFormat="1" ht="31.5">
      <c r="A98" s="393"/>
      <c r="B98" s="394" t="s">
        <v>160</v>
      </c>
      <c r="C98" s="282" t="s">
        <v>7</v>
      </c>
      <c r="D98" s="395"/>
      <c r="E98" s="396">
        <v>199</v>
      </c>
      <c r="F98" s="397"/>
      <c r="G98" s="397"/>
      <c r="H98" s="397"/>
      <c r="I98" s="397"/>
      <c r="J98" s="397"/>
      <c r="K98" s="397"/>
      <c r="L98" s="552"/>
      <c r="M98" s="436"/>
      <c r="N98" s="183"/>
    </row>
    <row r="99" spans="1:14" s="122" customFormat="1" ht="31.5">
      <c r="A99" s="398"/>
      <c r="B99" s="415" t="s">
        <v>168</v>
      </c>
      <c r="C99" s="283"/>
      <c r="D99" s="399"/>
      <c r="E99" s="400"/>
      <c r="F99" s="299"/>
      <c r="G99" s="299"/>
      <c r="H99" s="299"/>
      <c r="I99" s="299"/>
      <c r="J99" s="299"/>
      <c r="K99" s="299"/>
      <c r="L99" s="553"/>
      <c r="M99" s="436"/>
      <c r="N99" s="183"/>
    </row>
    <row r="100" spans="1:14" s="122" customFormat="1" ht="31.5">
      <c r="A100" s="614" t="s">
        <v>56</v>
      </c>
      <c r="B100" s="401" t="s">
        <v>161</v>
      </c>
      <c r="C100" s="162" t="s">
        <v>6</v>
      </c>
      <c r="D100" s="402"/>
      <c r="E100" s="403">
        <f>E98*0.25</f>
        <v>49.75</v>
      </c>
      <c r="F100" s="404"/>
      <c r="G100" s="304"/>
      <c r="H100" s="404"/>
      <c r="I100" s="304"/>
      <c r="J100" s="404"/>
      <c r="K100" s="304"/>
      <c r="L100" s="369"/>
      <c r="M100" s="436"/>
      <c r="N100" s="183"/>
    </row>
    <row r="101" spans="1:14" s="122" customFormat="1">
      <c r="A101" s="615"/>
      <c r="B101" s="53" t="s">
        <v>13</v>
      </c>
      <c r="C101" s="162" t="s">
        <v>15</v>
      </c>
      <c r="D101" s="405">
        <v>3.88</v>
      </c>
      <c r="E101" s="406">
        <f>E100*D101</f>
        <v>193.03</v>
      </c>
      <c r="F101" s="404"/>
      <c r="G101" s="304"/>
      <c r="H101" s="404"/>
      <c r="I101" s="304"/>
      <c r="J101" s="404"/>
      <c r="K101" s="304"/>
      <c r="L101" s="369"/>
      <c r="M101" s="436"/>
      <c r="N101" s="184">
        <f>I101/E100</f>
        <v>0</v>
      </c>
    </row>
    <row r="102" spans="1:14" s="122" customFormat="1" ht="31.5">
      <c r="A102" s="604" t="s">
        <v>57</v>
      </c>
      <c r="B102" s="248" t="s">
        <v>118</v>
      </c>
      <c r="C102" s="163" t="s">
        <v>49</v>
      </c>
      <c r="D102" s="307"/>
      <c r="E102" s="396">
        <f>E100*1.95</f>
        <v>97.012500000000003</v>
      </c>
      <c r="F102" s="295"/>
      <c r="G102" s="404"/>
      <c r="H102" s="295"/>
      <c r="I102" s="404"/>
      <c r="J102" s="295"/>
      <c r="K102" s="404"/>
      <c r="L102" s="554"/>
      <c r="M102" s="436"/>
      <c r="N102" s="183"/>
    </row>
    <row r="103" spans="1:14" s="122" customFormat="1">
      <c r="A103" s="606"/>
      <c r="B103" s="43" t="s">
        <v>19</v>
      </c>
      <c r="C103" s="290" t="s">
        <v>15</v>
      </c>
      <c r="D103" s="296">
        <v>0.53</v>
      </c>
      <c r="E103" s="407">
        <f>E102*D103</f>
        <v>51.416625000000003</v>
      </c>
      <c r="F103" s="295"/>
      <c r="G103" s="404"/>
      <c r="H103" s="295"/>
      <c r="I103" s="404"/>
      <c r="J103" s="295"/>
      <c r="K103" s="404"/>
      <c r="L103" s="554"/>
      <c r="M103" s="436"/>
      <c r="N103" s="184">
        <f>I103/E102</f>
        <v>0</v>
      </c>
    </row>
    <row r="104" spans="1:14" s="122" customFormat="1" ht="31.5">
      <c r="A104" s="289" t="s">
        <v>35</v>
      </c>
      <c r="B104" s="248" t="s">
        <v>135</v>
      </c>
      <c r="C104" s="163" t="s">
        <v>9</v>
      </c>
      <c r="D104" s="307"/>
      <c r="E104" s="297">
        <f>E102</f>
        <v>97.012500000000003</v>
      </c>
      <c r="F104" s="295"/>
      <c r="G104" s="404"/>
      <c r="H104" s="295"/>
      <c r="I104" s="404"/>
      <c r="J104" s="301"/>
      <c r="K104" s="404"/>
      <c r="L104" s="554"/>
      <c r="M104" s="436"/>
      <c r="N104" s="183"/>
    </row>
    <row r="105" spans="1:14" s="122" customFormat="1" ht="31.5">
      <c r="A105" s="614" t="s">
        <v>58</v>
      </c>
      <c r="B105" s="80" t="s">
        <v>162</v>
      </c>
      <c r="C105" s="162" t="s">
        <v>6</v>
      </c>
      <c r="D105" s="402"/>
      <c r="E105" s="403">
        <f>E98*0.1</f>
        <v>19.900000000000002</v>
      </c>
      <c r="F105" s="404"/>
      <c r="G105" s="304"/>
      <c r="H105" s="404"/>
      <c r="I105" s="304"/>
      <c r="J105" s="404"/>
      <c r="K105" s="304"/>
      <c r="L105" s="369"/>
      <c r="M105" s="436"/>
      <c r="N105" s="183"/>
    </row>
    <row r="106" spans="1:14" s="122" customFormat="1">
      <c r="A106" s="616"/>
      <c r="B106" s="43" t="s">
        <v>13</v>
      </c>
      <c r="C106" s="290" t="s">
        <v>15</v>
      </c>
      <c r="D106" s="296">
        <v>3.52</v>
      </c>
      <c r="E106" s="308">
        <f>E105*D106</f>
        <v>70.048000000000002</v>
      </c>
      <c r="F106" s="295"/>
      <c r="G106" s="295"/>
      <c r="H106" s="295"/>
      <c r="I106" s="295"/>
      <c r="J106" s="295"/>
      <c r="K106" s="295"/>
      <c r="L106" s="314"/>
      <c r="M106" s="436"/>
      <c r="N106" s="184">
        <f>I106/E105</f>
        <v>0</v>
      </c>
    </row>
    <row r="107" spans="1:14" s="122" customFormat="1">
      <c r="A107" s="616"/>
      <c r="B107" s="43" t="s">
        <v>14</v>
      </c>
      <c r="C107" s="290" t="s">
        <v>11</v>
      </c>
      <c r="D107" s="296">
        <v>1.06</v>
      </c>
      <c r="E107" s="308">
        <f>E105*D107</f>
        <v>21.094000000000005</v>
      </c>
      <c r="F107" s="295"/>
      <c r="G107" s="295"/>
      <c r="H107" s="295"/>
      <c r="I107" s="295"/>
      <c r="J107" s="295"/>
      <c r="K107" s="295"/>
      <c r="L107" s="314"/>
      <c r="M107" s="436"/>
      <c r="N107" s="183"/>
    </row>
    <row r="108" spans="1:14" s="122" customFormat="1">
      <c r="A108" s="616"/>
      <c r="B108" s="43" t="s">
        <v>103</v>
      </c>
      <c r="C108" s="290" t="s">
        <v>6</v>
      </c>
      <c r="D108" s="296">
        <f>0.18+0.09+0.97</f>
        <v>1.24</v>
      </c>
      <c r="E108" s="308">
        <f>E105*D108</f>
        <v>24.676000000000002</v>
      </c>
      <c r="F108" s="295"/>
      <c r="G108" s="295"/>
      <c r="H108" s="295"/>
      <c r="I108" s="295"/>
      <c r="J108" s="295"/>
      <c r="K108" s="295"/>
      <c r="L108" s="314"/>
      <c r="M108" s="436"/>
      <c r="N108" s="183"/>
    </row>
    <row r="109" spans="1:14" s="122" customFormat="1">
      <c r="A109" s="615"/>
      <c r="B109" s="43" t="s">
        <v>21</v>
      </c>
      <c r="C109" s="290" t="s">
        <v>11</v>
      </c>
      <c r="D109" s="296">
        <v>0.02</v>
      </c>
      <c r="E109" s="308">
        <f>E105*D109</f>
        <v>0.39800000000000008</v>
      </c>
      <c r="F109" s="295"/>
      <c r="G109" s="295"/>
      <c r="H109" s="295"/>
      <c r="I109" s="295"/>
      <c r="J109" s="295"/>
      <c r="K109" s="295"/>
      <c r="L109" s="314"/>
      <c r="M109" s="436"/>
      <c r="N109" s="183"/>
    </row>
    <row r="110" spans="1:14" s="122" customFormat="1" ht="31.5">
      <c r="A110" s="604" t="s">
        <v>23</v>
      </c>
      <c r="B110" s="47" t="s">
        <v>163</v>
      </c>
      <c r="C110" s="163" t="s">
        <v>6</v>
      </c>
      <c r="D110" s="402"/>
      <c r="E110" s="403">
        <f>E98*0.12</f>
        <v>23.88</v>
      </c>
      <c r="F110" s="404"/>
      <c r="G110" s="304"/>
      <c r="H110" s="404"/>
      <c r="I110" s="304"/>
      <c r="J110" s="404"/>
      <c r="K110" s="304"/>
      <c r="L110" s="369"/>
      <c r="M110" s="436"/>
      <c r="N110" s="183"/>
    </row>
    <row r="111" spans="1:14" s="122" customFormat="1">
      <c r="A111" s="605"/>
      <c r="B111" s="48" t="s">
        <v>13</v>
      </c>
      <c r="C111" s="290" t="s">
        <v>15</v>
      </c>
      <c r="D111" s="296">
        <v>1.87</v>
      </c>
      <c r="E111" s="308">
        <f>E110*D111</f>
        <v>44.6556</v>
      </c>
      <c r="F111" s="408"/>
      <c r="G111" s="304"/>
      <c r="H111" s="408"/>
      <c r="I111" s="304"/>
      <c r="J111" s="408"/>
      <c r="K111" s="304"/>
      <c r="L111" s="369"/>
      <c r="M111" s="436"/>
      <c r="N111" s="184">
        <f>I111/E110</f>
        <v>0</v>
      </c>
    </row>
    <row r="112" spans="1:14" s="122" customFormat="1">
      <c r="A112" s="605"/>
      <c r="B112" s="48" t="s">
        <v>20</v>
      </c>
      <c r="C112" s="290" t="s">
        <v>11</v>
      </c>
      <c r="D112" s="296">
        <v>0.77</v>
      </c>
      <c r="E112" s="308">
        <f>E110*D112</f>
        <v>18.387599999999999</v>
      </c>
      <c r="F112" s="408"/>
      <c r="G112" s="304"/>
      <c r="H112" s="408"/>
      <c r="I112" s="304"/>
      <c r="J112" s="408"/>
      <c r="K112" s="304"/>
      <c r="L112" s="369"/>
      <c r="M112" s="436"/>
      <c r="N112" s="183"/>
    </row>
    <row r="113" spans="1:16" s="122" customFormat="1">
      <c r="A113" s="605"/>
      <c r="B113" s="48" t="s">
        <v>126</v>
      </c>
      <c r="C113" s="290" t="s">
        <v>164</v>
      </c>
      <c r="D113" s="296">
        <v>1.0149999999999999</v>
      </c>
      <c r="E113" s="308">
        <f>E110*D113</f>
        <v>24.238199999999996</v>
      </c>
      <c r="F113" s="408"/>
      <c r="G113" s="304"/>
      <c r="H113" s="408"/>
      <c r="I113" s="304"/>
      <c r="J113" s="408"/>
      <c r="K113" s="304"/>
      <c r="L113" s="369"/>
      <c r="M113" s="436"/>
      <c r="N113" s="183"/>
    </row>
    <row r="114" spans="1:16" s="122" customFormat="1">
      <c r="A114" s="605"/>
      <c r="B114" s="48" t="s">
        <v>21</v>
      </c>
      <c r="C114" s="290" t="s">
        <v>11</v>
      </c>
      <c r="D114" s="296">
        <v>7.0000000000000007E-2</v>
      </c>
      <c r="E114" s="308">
        <f>E110*D114</f>
        <v>1.6716000000000002</v>
      </c>
      <c r="F114" s="408"/>
      <c r="G114" s="304"/>
      <c r="H114" s="408"/>
      <c r="I114" s="304"/>
      <c r="J114" s="408"/>
      <c r="K114" s="304"/>
      <c r="L114" s="369"/>
      <c r="M114" s="436"/>
      <c r="N114" s="183"/>
    </row>
    <row r="115" spans="1:16" s="122" customFormat="1">
      <c r="A115" s="606"/>
      <c r="B115" s="259" t="s">
        <v>127</v>
      </c>
      <c r="C115" s="290" t="s">
        <v>9</v>
      </c>
      <c r="D115" s="402"/>
      <c r="E115" s="330">
        <f>E98*16*1*1.05*0.222/1000</f>
        <v>0.74219040000000003</v>
      </c>
      <c r="F115" s="408"/>
      <c r="G115" s="304"/>
      <c r="H115" s="408"/>
      <c r="I115" s="304"/>
      <c r="J115" s="408"/>
      <c r="K115" s="304"/>
      <c r="L115" s="369"/>
      <c r="M115" s="436"/>
      <c r="N115" s="183"/>
    </row>
    <row r="116" spans="1:16" s="122" customFormat="1" ht="31.5">
      <c r="A116" s="607" t="s">
        <v>53</v>
      </c>
      <c r="B116" s="410" t="s">
        <v>165</v>
      </c>
      <c r="C116" s="163" t="s">
        <v>7</v>
      </c>
      <c r="D116" s="411"/>
      <c r="E116" s="412">
        <f>E98</f>
        <v>199</v>
      </c>
      <c r="F116" s="348"/>
      <c r="G116" s="304"/>
      <c r="H116" s="413"/>
      <c r="I116" s="304"/>
      <c r="J116" s="413"/>
      <c r="K116" s="304"/>
      <c r="L116" s="369"/>
      <c r="M116" s="436"/>
      <c r="N116" s="183"/>
    </row>
    <row r="117" spans="1:16" s="122" customFormat="1">
      <c r="A117" s="608"/>
      <c r="B117" s="59" t="s">
        <v>33</v>
      </c>
      <c r="C117" s="112" t="s">
        <v>15</v>
      </c>
      <c r="D117" s="411">
        <v>0.41599999999999998</v>
      </c>
      <c r="E117" s="414">
        <f>E116*D117</f>
        <v>82.783999999999992</v>
      </c>
      <c r="F117" s="348"/>
      <c r="G117" s="304"/>
      <c r="H117" s="348"/>
      <c r="I117" s="304"/>
      <c r="J117" s="348"/>
      <c r="K117" s="304"/>
      <c r="L117" s="369"/>
      <c r="M117" s="436"/>
      <c r="N117" s="184">
        <f>I117/E116</f>
        <v>0</v>
      </c>
    </row>
    <row r="118" spans="1:16" s="122" customFormat="1">
      <c r="A118" s="608"/>
      <c r="B118" s="54" t="s">
        <v>20</v>
      </c>
      <c r="C118" s="112" t="s">
        <v>16</v>
      </c>
      <c r="D118" s="411">
        <f>0.0059</f>
        <v>5.8999999999999999E-3</v>
      </c>
      <c r="E118" s="414">
        <f>E116*D118</f>
        <v>1.1740999999999999</v>
      </c>
      <c r="F118" s="304"/>
      <c r="G118" s="304"/>
      <c r="H118" s="304"/>
      <c r="I118" s="304"/>
      <c r="J118" s="304"/>
      <c r="K118" s="304"/>
      <c r="L118" s="369"/>
      <c r="M118" s="436"/>
      <c r="N118" s="183"/>
    </row>
    <row r="119" spans="1:16" s="122" customFormat="1">
      <c r="A119" s="608"/>
      <c r="B119" s="197" t="s">
        <v>166</v>
      </c>
      <c r="C119" s="112" t="s">
        <v>8</v>
      </c>
      <c r="D119" s="411">
        <v>0.19</v>
      </c>
      <c r="E119" s="414">
        <f>E116*D119</f>
        <v>37.81</v>
      </c>
      <c r="F119" s="348"/>
      <c r="G119" s="304"/>
      <c r="H119" s="348"/>
      <c r="I119" s="304"/>
      <c r="J119" s="348"/>
      <c r="K119" s="304"/>
      <c r="L119" s="369"/>
      <c r="M119" s="436"/>
      <c r="N119" s="183"/>
    </row>
    <row r="120" spans="1:16" s="122" customFormat="1">
      <c r="A120" s="608"/>
      <c r="B120" s="59" t="s">
        <v>169</v>
      </c>
      <c r="C120" s="112" t="s">
        <v>7</v>
      </c>
      <c r="D120" s="411">
        <v>1.02</v>
      </c>
      <c r="E120" s="414">
        <f>E116*D120</f>
        <v>202.98</v>
      </c>
      <c r="F120" s="348"/>
      <c r="G120" s="304"/>
      <c r="H120" s="348"/>
      <c r="I120" s="304"/>
      <c r="J120" s="348"/>
      <c r="K120" s="304"/>
      <c r="L120" s="369"/>
      <c r="M120" s="436"/>
      <c r="N120" s="183"/>
    </row>
    <row r="121" spans="1:16" s="122" customFormat="1">
      <c r="A121" s="609"/>
      <c r="B121" s="258" t="s">
        <v>18</v>
      </c>
      <c r="C121" s="112" t="s">
        <v>11</v>
      </c>
      <c r="D121" s="411">
        <v>0.08</v>
      </c>
      <c r="E121" s="414">
        <f>E116*D121</f>
        <v>15.92</v>
      </c>
      <c r="F121" s="348"/>
      <c r="G121" s="304"/>
      <c r="H121" s="348"/>
      <c r="I121" s="304"/>
      <c r="J121" s="348"/>
      <c r="K121" s="304"/>
      <c r="L121" s="369"/>
      <c r="M121" s="107">
        <f>SUM(L97:L121)</f>
        <v>0</v>
      </c>
      <c r="N121" s="183"/>
    </row>
    <row r="122" spans="1:16" s="174" customFormat="1">
      <c r="A122" s="379"/>
      <c r="B122" s="238"/>
      <c r="C122" s="112"/>
      <c r="D122" s="238"/>
      <c r="E122" s="238"/>
      <c r="F122" s="238"/>
      <c r="G122" s="238"/>
      <c r="H122" s="238"/>
      <c r="I122" s="238"/>
      <c r="J122" s="238"/>
      <c r="K122" s="238"/>
      <c r="L122" s="363"/>
      <c r="M122" s="353"/>
      <c r="N122" s="173"/>
      <c r="O122" s="200"/>
    </row>
    <row r="123" spans="1:16" s="90" customFormat="1" ht="16.5">
      <c r="A123" s="416"/>
      <c r="B123" s="254" t="s">
        <v>170</v>
      </c>
      <c r="C123" s="85" t="s">
        <v>7</v>
      </c>
      <c r="D123" s="391"/>
      <c r="E123" s="392">
        <v>115</v>
      </c>
      <c r="F123" s="295"/>
      <c r="G123" s="295"/>
      <c r="H123" s="295"/>
      <c r="I123" s="295"/>
      <c r="J123" s="295"/>
      <c r="K123" s="295"/>
      <c r="L123" s="314"/>
      <c r="M123" s="435"/>
      <c r="N123" s="184"/>
    </row>
    <row r="124" spans="1:16" s="90" customFormat="1" ht="31.5">
      <c r="A124" s="417" t="s">
        <v>56</v>
      </c>
      <c r="B124" s="418" t="s">
        <v>175</v>
      </c>
      <c r="C124" s="320" t="s">
        <v>9</v>
      </c>
      <c r="D124" s="419"/>
      <c r="E124" s="420">
        <f>E125*1.95</f>
        <v>11.7</v>
      </c>
      <c r="F124" s="305"/>
      <c r="G124" s="295"/>
      <c r="H124" s="295"/>
      <c r="I124" s="295"/>
      <c r="J124" s="306"/>
      <c r="K124" s="295"/>
      <c r="L124" s="314"/>
      <c r="M124" s="435"/>
      <c r="N124" s="184"/>
    </row>
    <row r="125" spans="1:16" s="90" customFormat="1" ht="31.5">
      <c r="A125" s="610" t="s">
        <v>57</v>
      </c>
      <c r="B125" s="188" t="s">
        <v>171</v>
      </c>
      <c r="C125" s="320" t="s">
        <v>6</v>
      </c>
      <c r="D125" s="419"/>
      <c r="E125" s="421">
        <v>6</v>
      </c>
      <c r="F125" s="305"/>
      <c r="G125" s="295"/>
      <c r="H125" s="295"/>
      <c r="I125" s="295"/>
      <c r="J125" s="306"/>
      <c r="K125" s="295"/>
      <c r="L125" s="314"/>
      <c r="M125" s="435"/>
      <c r="N125" s="184"/>
      <c r="O125" s="422">
        <f>E123*0.05</f>
        <v>5.75</v>
      </c>
      <c r="P125" s="90">
        <f>E125/E123</f>
        <v>5.2173913043478258E-2</v>
      </c>
    </row>
    <row r="126" spans="1:16" s="90" customFormat="1" ht="16.5">
      <c r="A126" s="611"/>
      <c r="B126" s="235" t="s">
        <v>114</v>
      </c>
      <c r="C126" s="323" t="s">
        <v>115</v>
      </c>
      <c r="D126" s="419">
        <v>1.21</v>
      </c>
      <c r="E126" s="423">
        <f>E125*D126</f>
        <v>7.26</v>
      </c>
      <c r="F126" s="305"/>
      <c r="G126" s="295"/>
      <c r="H126" s="305"/>
      <c r="I126" s="295"/>
      <c r="J126" s="306"/>
      <c r="K126" s="295"/>
      <c r="L126" s="314"/>
      <c r="M126" s="435"/>
      <c r="N126" s="184">
        <f>I126/E125</f>
        <v>0</v>
      </c>
    </row>
    <row r="127" spans="1:16" s="90" customFormat="1" ht="31.5">
      <c r="A127" s="617" t="s">
        <v>35</v>
      </c>
      <c r="B127" s="189" t="s">
        <v>172</v>
      </c>
      <c r="C127" s="65" t="s">
        <v>7</v>
      </c>
      <c r="D127" s="424"/>
      <c r="E127" s="425">
        <f>E123</f>
        <v>115</v>
      </c>
      <c r="F127" s="295"/>
      <c r="G127" s="295"/>
      <c r="H127" s="295"/>
      <c r="I127" s="295"/>
      <c r="J127" s="295"/>
      <c r="K127" s="295"/>
      <c r="L127" s="314"/>
      <c r="M127" s="435"/>
      <c r="N127" s="184"/>
    </row>
    <row r="128" spans="1:16" s="90" customFormat="1" ht="16.5">
      <c r="A128" s="617"/>
      <c r="B128" s="199" t="s">
        <v>13</v>
      </c>
      <c r="C128" s="290" t="s">
        <v>15</v>
      </c>
      <c r="D128" s="351">
        <f>38.3*0.01</f>
        <v>0.38300000000000001</v>
      </c>
      <c r="E128" s="352">
        <f>E127*D128</f>
        <v>44.045000000000002</v>
      </c>
      <c r="F128" s="295"/>
      <c r="G128" s="295"/>
      <c r="H128" s="295"/>
      <c r="I128" s="295"/>
      <c r="J128" s="295"/>
      <c r="K128" s="295"/>
      <c r="L128" s="314"/>
      <c r="M128" s="435"/>
      <c r="N128" s="184">
        <f>I128/E127</f>
        <v>0</v>
      </c>
    </row>
    <row r="129" spans="1:15" s="90" customFormat="1" ht="16.5">
      <c r="A129" s="617"/>
      <c r="B129" s="199" t="s">
        <v>173</v>
      </c>
      <c r="C129" s="58" t="s">
        <v>7</v>
      </c>
      <c r="D129" s="351">
        <v>1</v>
      </c>
      <c r="E129" s="352">
        <f>E123</f>
        <v>115</v>
      </c>
      <c r="F129" s="295"/>
      <c r="G129" s="295"/>
      <c r="H129" s="295"/>
      <c r="I129" s="295"/>
      <c r="J129" s="295"/>
      <c r="K129" s="295"/>
      <c r="L129" s="314"/>
      <c r="M129" s="437">
        <f>SUM(L123:L129)</f>
        <v>0</v>
      </c>
      <c r="N129" s="184"/>
    </row>
    <row r="130" spans="1:15" s="90" customFormat="1" ht="16.5">
      <c r="A130" s="426"/>
      <c r="B130" s="199"/>
      <c r="C130" s="58"/>
      <c r="D130" s="351"/>
      <c r="E130" s="352"/>
      <c r="F130" s="295"/>
      <c r="G130" s="295"/>
      <c r="H130" s="295"/>
      <c r="I130" s="295"/>
      <c r="J130" s="295"/>
      <c r="K130" s="295"/>
      <c r="L130" s="314"/>
      <c r="M130" s="435"/>
      <c r="N130" s="184"/>
    </row>
    <row r="131" spans="1:15" s="90" customFormat="1" ht="16.5">
      <c r="A131" s="287" t="s">
        <v>58</v>
      </c>
      <c r="B131" s="254" t="s">
        <v>174</v>
      </c>
      <c r="C131" s="85"/>
      <c r="D131" s="391"/>
      <c r="E131" s="297"/>
      <c r="F131" s="409"/>
      <c r="G131" s="295"/>
      <c r="H131" s="295"/>
      <c r="I131" s="295"/>
      <c r="J131" s="295"/>
      <c r="K131" s="295"/>
      <c r="L131" s="314"/>
      <c r="M131" s="435"/>
      <c r="N131" s="184"/>
    </row>
    <row r="132" spans="1:15" s="174" customFormat="1" ht="189">
      <c r="A132" s="379"/>
      <c r="B132" s="578" t="s">
        <v>184</v>
      </c>
      <c r="C132" s="579" t="s">
        <v>4</v>
      </c>
      <c r="D132" s="580">
        <v>3</v>
      </c>
      <c r="E132" s="42"/>
      <c r="F132" s="238"/>
      <c r="G132" s="238"/>
      <c r="H132" s="238"/>
      <c r="I132" s="238"/>
      <c r="J132" s="238"/>
      <c r="K132" s="238"/>
      <c r="L132" s="363"/>
      <c r="M132" s="353"/>
      <c r="N132" s="173"/>
      <c r="O132" s="200"/>
    </row>
    <row r="133" spans="1:15" s="174" customFormat="1" ht="31.5">
      <c r="A133" s="379"/>
      <c r="B133" s="578" t="s">
        <v>284</v>
      </c>
      <c r="C133" s="579" t="s">
        <v>4</v>
      </c>
      <c r="D133" s="580">
        <v>2</v>
      </c>
      <c r="E133" s="42"/>
      <c r="F133" s="238"/>
      <c r="G133" s="238"/>
      <c r="H133" s="238"/>
      <c r="I133" s="238"/>
      <c r="J133" s="238"/>
      <c r="K133" s="238"/>
      <c r="L133" s="363"/>
      <c r="M133" s="353"/>
      <c r="N133" s="173"/>
      <c r="O133" s="200"/>
    </row>
    <row r="134" spans="1:15" s="174" customFormat="1" ht="63">
      <c r="A134" s="379"/>
      <c r="B134" s="578" t="s">
        <v>176</v>
      </c>
      <c r="C134" s="579" t="s">
        <v>4</v>
      </c>
      <c r="D134" s="580">
        <v>7</v>
      </c>
      <c r="E134" s="42"/>
      <c r="F134" s="238"/>
      <c r="G134" s="238"/>
      <c r="H134" s="238"/>
      <c r="I134" s="238"/>
      <c r="J134" s="238"/>
      <c r="K134" s="238"/>
      <c r="L134" s="363"/>
      <c r="M134" s="353"/>
      <c r="N134" s="173"/>
      <c r="O134" s="200"/>
    </row>
    <row r="135" spans="1:15" s="174" customFormat="1" ht="31.5">
      <c r="A135" s="614" t="s">
        <v>182</v>
      </c>
      <c r="B135" s="47" t="s">
        <v>177</v>
      </c>
      <c r="C135" s="163" t="s">
        <v>4</v>
      </c>
      <c r="D135" s="296"/>
      <c r="E135" s="420">
        <f>D132+D133+D134</f>
        <v>12</v>
      </c>
      <c r="F135" s="295"/>
      <c r="G135" s="295"/>
      <c r="H135" s="295"/>
      <c r="I135" s="295"/>
      <c r="J135" s="295"/>
      <c r="K135" s="295"/>
      <c r="L135" s="314"/>
      <c r="M135" s="435"/>
      <c r="N135" s="184"/>
      <c r="O135" s="200"/>
    </row>
    <row r="136" spans="1:15" s="174" customFormat="1">
      <c r="A136" s="615"/>
      <c r="B136" s="48" t="s">
        <v>13</v>
      </c>
      <c r="C136" s="290" t="s">
        <v>15</v>
      </c>
      <c r="D136" s="296">
        <v>3.18</v>
      </c>
      <c r="E136" s="308">
        <f>E135*D136</f>
        <v>38.160000000000004</v>
      </c>
      <c r="F136" s="295"/>
      <c r="G136" s="295"/>
      <c r="H136" s="295"/>
      <c r="I136" s="295"/>
      <c r="J136" s="295"/>
      <c r="K136" s="295"/>
      <c r="L136" s="314"/>
      <c r="M136" s="435"/>
      <c r="N136" s="184">
        <f>I136/E135</f>
        <v>0</v>
      </c>
      <c r="O136" s="200"/>
    </row>
    <row r="137" spans="1:15" s="174" customFormat="1">
      <c r="A137" s="614" t="s">
        <v>183</v>
      </c>
      <c r="B137" s="47" t="s">
        <v>178</v>
      </c>
      <c r="C137" s="163" t="s">
        <v>4</v>
      </c>
      <c r="D137" s="296"/>
      <c r="E137" s="297">
        <f>E135</f>
        <v>12</v>
      </c>
      <c r="F137" s="295"/>
      <c r="G137" s="295"/>
      <c r="H137" s="295"/>
      <c r="I137" s="295"/>
      <c r="J137" s="295"/>
      <c r="K137" s="295"/>
      <c r="L137" s="314"/>
      <c r="M137" s="435"/>
      <c r="N137" s="184"/>
      <c r="O137" s="200"/>
    </row>
    <row r="138" spans="1:15" s="174" customFormat="1">
      <c r="A138" s="616"/>
      <c r="B138" s="48" t="s">
        <v>13</v>
      </c>
      <c r="C138" s="290" t="s">
        <v>15</v>
      </c>
      <c r="D138" s="296">
        <v>1.6</v>
      </c>
      <c r="E138" s="308">
        <f>E137*D138</f>
        <v>19.200000000000003</v>
      </c>
      <c r="F138" s="295"/>
      <c r="G138" s="295"/>
      <c r="H138" s="295"/>
      <c r="I138" s="295"/>
      <c r="J138" s="295"/>
      <c r="K138" s="295"/>
      <c r="L138" s="314"/>
      <c r="M138" s="435"/>
      <c r="N138" s="184">
        <f>I138/E137</f>
        <v>0</v>
      </c>
      <c r="O138" s="200"/>
    </row>
    <row r="139" spans="1:15" s="174" customFormat="1">
      <c r="A139" s="616"/>
      <c r="B139" s="48" t="s">
        <v>179</v>
      </c>
      <c r="C139" s="290" t="s">
        <v>16</v>
      </c>
      <c r="D139" s="296">
        <v>7.0999999999999994E-2</v>
      </c>
      <c r="E139" s="308">
        <f>E137*D139</f>
        <v>0.85199999999999987</v>
      </c>
      <c r="F139" s="295"/>
      <c r="G139" s="295"/>
      <c r="H139" s="295"/>
      <c r="I139" s="295"/>
      <c r="J139" s="295"/>
      <c r="K139" s="295"/>
      <c r="L139" s="314"/>
      <c r="M139" s="435"/>
      <c r="N139" s="184"/>
      <c r="O139" s="200"/>
    </row>
    <row r="140" spans="1:15" s="174" customFormat="1">
      <c r="A140" s="616"/>
      <c r="B140" s="48" t="s">
        <v>180</v>
      </c>
      <c r="C140" s="290" t="s">
        <v>16</v>
      </c>
      <c r="D140" s="296">
        <v>0.13400000000000001</v>
      </c>
      <c r="E140" s="308">
        <f>E137*D140</f>
        <v>1.6080000000000001</v>
      </c>
      <c r="F140" s="295"/>
      <c r="G140" s="295"/>
      <c r="H140" s="295"/>
      <c r="I140" s="295"/>
      <c r="J140" s="295"/>
      <c r="K140" s="295"/>
      <c r="L140" s="314"/>
      <c r="M140" s="435"/>
      <c r="N140" s="184"/>
      <c r="O140" s="200"/>
    </row>
    <row r="141" spans="1:15" s="174" customFormat="1">
      <c r="A141" s="616"/>
      <c r="B141" s="47" t="s">
        <v>181</v>
      </c>
      <c r="C141" s="290"/>
      <c r="D141" s="296">
        <v>1</v>
      </c>
      <c r="E141" s="297">
        <f>E135</f>
        <v>12</v>
      </c>
      <c r="F141" s="295"/>
      <c r="G141" s="295"/>
      <c r="H141" s="295"/>
      <c r="I141" s="295"/>
      <c r="J141" s="295"/>
      <c r="K141" s="295"/>
      <c r="L141" s="314"/>
      <c r="M141" s="435"/>
      <c r="N141" s="184"/>
      <c r="O141" s="200"/>
    </row>
    <row r="142" spans="1:15" s="174" customFormat="1" ht="189">
      <c r="A142" s="616"/>
      <c r="B142" s="238" t="s">
        <v>184</v>
      </c>
      <c r="C142" s="21" t="s">
        <v>4</v>
      </c>
      <c r="D142" s="238"/>
      <c r="E142" s="37">
        <f>D132</f>
        <v>3</v>
      </c>
      <c r="F142" s="429"/>
      <c r="G142" s="429"/>
      <c r="H142" s="427"/>
      <c r="I142" s="427"/>
      <c r="J142" s="427"/>
      <c r="K142" s="427"/>
      <c r="L142" s="314"/>
      <c r="M142" s="353"/>
      <c r="N142" s="173"/>
      <c r="O142" s="200"/>
    </row>
    <row r="143" spans="1:15" s="174" customFormat="1" ht="31.5">
      <c r="A143" s="616"/>
      <c r="B143" s="238" t="s">
        <v>284</v>
      </c>
      <c r="C143" s="21" t="s">
        <v>4</v>
      </c>
      <c r="D143" s="238"/>
      <c r="E143" s="37">
        <f>D133</f>
        <v>2</v>
      </c>
      <c r="F143" s="429"/>
      <c r="G143" s="429"/>
      <c r="H143" s="427"/>
      <c r="I143" s="427"/>
      <c r="J143" s="427"/>
      <c r="K143" s="427"/>
      <c r="L143" s="314"/>
      <c r="M143" s="353"/>
      <c r="N143" s="173"/>
      <c r="O143" s="200"/>
    </row>
    <row r="144" spans="1:15" s="174" customFormat="1" ht="63">
      <c r="A144" s="616"/>
      <c r="B144" s="238" t="s">
        <v>176</v>
      </c>
      <c r="C144" s="21" t="s">
        <v>4</v>
      </c>
      <c r="D144" s="238"/>
      <c r="E144" s="37">
        <f>D134</f>
        <v>7</v>
      </c>
      <c r="F144" s="429"/>
      <c r="G144" s="429"/>
      <c r="H144" s="427"/>
      <c r="I144" s="427"/>
      <c r="J144" s="427"/>
      <c r="K144" s="427"/>
      <c r="L144" s="314"/>
      <c r="M144" s="88"/>
      <c r="N144" s="173"/>
      <c r="O144" s="200"/>
    </row>
    <row r="145" spans="1:15" s="174" customFormat="1">
      <c r="A145" s="379"/>
      <c r="B145" s="48" t="s">
        <v>285</v>
      </c>
      <c r="C145" s="577" t="s">
        <v>6</v>
      </c>
      <c r="D145" s="70">
        <v>0.26</v>
      </c>
      <c r="E145" s="70">
        <f>E137*D145</f>
        <v>3.12</v>
      </c>
      <c r="F145" s="31"/>
      <c r="G145" s="31"/>
      <c r="H145" s="31"/>
      <c r="I145" s="31"/>
      <c r="J145" s="31"/>
      <c r="K145" s="31"/>
      <c r="L145" s="159"/>
      <c r="M145" s="353"/>
      <c r="N145" s="173"/>
      <c r="O145" s="200"/>
    </row>
    <row r="146" spans="1:15" s="174" customFormat="1">
      <c r="A146" s="379"/>
      <c r="B146" s="48" t="s">
        <v>18</v>
      </c>
      <c r="C146" s="577" t="s">
        <v>11</v>
      </c>
      <c r="D146" s="70">
        <v>0.17899999999999999</v>
      </c>
      <c r="E146" s="70">
        <f>E137*D146</f>
        <v>2.1479999999999997</v>
      </c>
      <c r="F146" s="31"/>
      <c r="G146" s="31"/>
      <c r="H146" s="31"/>
      <c r="I146" s="31"/>
      <c r="J146" s="31"/>
      <c r="K146" s="31"/>
      <c r="L146" s="159"/>
      <c r="M146" s="88">
        <f>SUM(L131:L146)</f>
        <v>0</v>
      </c>
      <c r="N146" s="173"/>
      <c r="O146" s="200"/>
    </row>
    <row r="147" spans="1:15" s="174" customFormat="1">
      <c r="A147" s="379"/>
      <c r="B147" s="238"/>
      <c r="C147" s="218"/>
      <c r="D147" s="238"/>
      <c r="E147" s="238"/>
      <c r="F147" s="427"/>
      <c r="G147" s="427"/>
      <c r="H147" s="427"/>
      <c r="I147" s="427"/>
      <c r="J147" s="427"/>
      <c r="K147" s="427"/>
      <c r="L147" s="428"/>
      <c r="M147" s="353"/>
      <c r="N147" s="173"/>
      <c r="O147" s="200"/>
    </row>
    <row r="148" spans="1:15" s="174" customFormat="1" ht="63">
      <c r="A148" s="612" t="s">
        <v>70</v>
      </c>
      <c r="B148" s="47" t="s">
        <v>71</v>
      </c>
      <c r="C148" s="163" t="s">
        <v>6</v>
      </c>
      <c r="D148" s="226"/>
      <c r="E148" s="187">
        <v>5</v>
      </c>
      <c r="F148" s="225"/>
      <c r="G148" s="225"/>
      <c r="H148" s="225"/>
      <c r="I148" s="225"/>
      <c r="J148" s="225"/>
      <c r="K148" s="225"/>
      <c r="L148" s="272"/>
      <c r="M148" s="438"/>
      <c r="N148" s="269"/>
      <c r="O148" s="200"/>
    </row>
    <row r="149" spans="1:15" s="174" customFormat="1">
      <c r="A149" s="612"/>
      <c r="B149" s="46" t="s">
        <v>19</v>
      </c>
      <c r="C149" s="26" t="s">
        <v>15</v>
      </c>
      <c r="D149" s="227">
        <v>0.6</v>
      </c>
      <c r="E149" s="228">
        <f>E148*D149</f>
        <v>3</v>
      </c>
      <c r="F149" s="229"/>
      <c r="G149" s="225"/>
      <c r="H149" s="229"/>
      <c r="I149" s="225"/>
      <c r="J149" s="225"/>
      <c r="K149" s="225"/>
      <c r="L149" s="272"/>
      <c r="M149" s="438"/>
      <c r="N149" s="184">
        <f>I149/E148</f>
        <v>0</v>
      </c>
      <c r="O149" s="200"/>
    </row>
    <row r="150" spans="1:15" s="174" customFormat="1" ht="31.5">
      <c r="A150" s="612"/>
      <c r="B150" s="83" t="s">
        <v>39</v>
      </c>
      <c r="C150" s="163" t="s">
        <v>9</v>
      </c>
      <c r="D150" s="227"/>
      <c r="E150" s="230">
        <f>E148*1.65</f>
        <v>8.25</v>
      </c>
      <c r="F150" s="229"/>
      <c r="G150" s="225"/>
      <c r="H150" s="229"/>
      <c r="I150" s="225"/>
      <c r="J150" s="229"/>
      <c r="K150" s="225"/>
      <c r="L150" s="272"/>
      <c r="M150" s="438"/>
      <c r="N150" s="269"/>
      <c r="O150" s="200"/>
    </row>
    <row r="151" spans="1:15" s="174" customFormat="1">
      <c r="A151" s="612"/>
      <c r="B151" s="84" t="s">
        <v>22</v>
      </c>
      <c r="C151" s="26" t="s">
        <v>15</v>
      </c>
      <c r="D151" s="227">
        <v>0.53</v>
      </c>
      <c r="E151" s="228">
        <f>E150*D151</f>
        <v>4.3725000000000005</v>
      </c>
      <c r="F151" s="229"/>
      <c r="G151" s="225"/>
      <c r="H151" s="229"/>
      <c r="I151" s="225"/>
      <c r="J151" s="229"/>
      <c r="K151" s="225"/>
      <c r="L151" s="272"/>
      <c r="M151" s="438"/>
      <c r="N151" s="184">
        <f>I151/E150</f>
        <v>0</v>
      </c>
      <c r="O151" s="200"/>
    </row>
    <row r="152" spans="1:15" s="174" customFormat="1" ht="16.5">
      <c r="A152" s="612"/>
      <c r="B152" s="96" t="s">
        <v>137</v>
      </c>
      <c r="C152" s="163" t="s">
        <v>9</v>
      </c>
      <c r="D152" s="227"/>
      <c r="E152" s="230">
        <f>E150</f>
        <v>8.25</v>
      </c>
      <c r="F152" s="229"/>
      <c r="G152" s="225"/>
      <c r="H152" s="229"/>
      <c r="I152" s="225"/>
      <c r="J152" s="264"/>
      <c r="K152" s="225"/>
      <c r="L152" s="272"/>
      <c r="M152" s="231">
        <f>SUM(L148:L152)</f>
        <v>0</v>
      </c>
      <c r="N152" s="269"/>
      <c r="O152" s="200"/>
    </row>
    <row r="153" spans="1:15" s="174" customFormat="1">
      <c r="A153" s="380"/>
      <c r="B153" s="238"/>
      <c r="C153" s="218"/>
      <c r="D153" s="238"/>
      <c r="E153" s="238"/>
      <c r="F153" s="427"/>
      <c r="G153" s="427"/>
      <c r="H153" s="427"/>
      <c r="I153" s="427"/>
      <c r="J153" s="427"/>
      <c r="K153" s="427"/>
      <c r="L153" s="428"/>
      <c r="M153" s="353"/>
      <c r="N153" s="173"/>
      <c r="O153" s="186"/>
    </row>
    <row r="154" spans="1:15" s="12" customFormat="1" ht="16.5">
      <c r="A154" s="375"/>
      <c r="B154" s="104" t="s">
        <v>95</v>
      </c>
      <c r="C154" s="222"/>
      <c r="D154" s="516"/>
      <c r="E154" s="538"/>
      <c r="F154" s="539"/>
      <c r="G154" s="540"/>
      <c r="H154" s="540"/>
      <c r="I154" s="540"/>
      <c r="J154" s="540"/>
      <c r="K154" s="540"/>
      <c r="L154" s="555"/>
      <c r="M154" s="439">
        <f>G154+I154+K154</f>
        <v>0</v>
      </c>
      <c r="N154" s="576">
        <f>SUM(M12:M153)</f>
        <v>0</v>
      </c>
    </row>
    <row r="155" spans="1:15" s="12" customFormat="1" ht="47.25">
      <c r="A155" s="696"/>
      <c r="B155" s="697" t="s">
        <v>69</v>
      </c>
      <c r="C155" s="659"/>
      <c r="D155" s="660"/>
      <c r="E155" s="661" t="s">
        <v>292</v>
      </c>
      <c r="F155" s="662"/>
      <c r="G155" s="663"/>
      <c r="H155" s="663"/>
      <c r="I155" s="663"/>
      <c r="J155" s="663"/>
      <c r="K155" s="663"/>
      <c r="L155" s="698" t="e">
        <f>G154*E155</f>
        <v>#VALUE!</v>
      </c>
      <c r="N155" s="170"/>
    </row>
    <row r="156" spans="1:15" s="12" customFormat="1">
      <c r="A156" s="696"/>
      <c r="B156" s="664" t="s">
        <v>28</v>
      </c>
      <c r="C156" s="659"/>
      <c r="D156" s="660"/>
      <c r="E156" s="660"/>
      <c r="F156" s="662"/>
      <c r="G156" s="663"/>
      <c r="H156" s="663"/>
      <c r="I156" s="663"/>
      <c r="J156" s="663"/>
      <c r="K156" s="663"/>
      <c r="L156" s="698" t="e">
        <f>L154+L155</f>
        <v>#VALUE!</v>
      </c>
      <c r="N156" s="170"/>
    </row>
    <row r="157" spans="1:15" s="12" customFormat="1">
      <c r="A157" s="699"/>
      <c r="B157" s="700" t="s">
        <v>30</v>
      </c>
      <c r="C157" s="701"/>
      <c r="D157" s="667"/>
      <c r="E157" s="667" t="s">
        <v>292</v>
      </c>
      <c r="F157" s="702"/>
      <c r="G157" s="703"/>
      <c r="H157" s="703"/>
      <c r="I157" s="703"/>
      <c r="J157" s="703"/>
      <c r="K157" s="703"/>
      <c r="L157" s="704" t="e">
        <f>L156*E157</f>
        <v>#VALUE!</v>
      </c>
      <c r="N157" s="170"/>
    </row>
    <row r="158" spans="1:15" s="12" customFormat="1">
      <c r="A158" s="705"/>
      <c r="B158" s="664" t="s">
        <v>28</v>
      </c>
      <c r="C158" s="706"/>
      <c r="D158" s="670"/>
      <c r="E158" s="670"/>
      <c r="F158" s="707"/>
      <c r="G158" s="687"/>
      <c r="H158" s="687"/>
      <c r="I158" s="687"/>
      <c r="J158" s="687"/>
      <c r="K158" s="687"/>
      <c r="L158" s="708" t="e">
        <f>L156+L157</f>
        <v>#VALUE!</v>
      </c>
      <c r="N158" s="170"/>
    </row>
    <row r="159" spans="1:15" s="12" customFormat="1">
      <c r="A159" s="705"/>
      <c r="B159" s="709" t="s">
        <v>25</v>
      </c>
      <c r="C159" s="706"/>
      <c r="D159" s="670"/>
      <c r="E159" s="670" t="s">
        <v>292</v>
      </c>
      <c r="F159" s="707"/>
      <c r="G159" s="687"/>
      <c r="H159" s="687"/>
      <c r="I159" s="687"/>
      <c r="J159" s="687"/>
      <c r="K159" s="687"/>
      <c r="L159" s="708" t="e">
        <f>L158*E159</f>
        <v>#VALUE!</v>
      </c>
      <c r="N159" s="170"/>
    </row>
    <row r="160" spans="1:15" s="12" customFormat="1">
      <c r="A160" s="696"/>
      <c r="B160" s="673" t="s">
        <v>94</v>
      </c>
      <c r="C160" s="674"/>
      <c r="D160" s="675"/>
      <c r="E160" s="675"/>
      <c r="F160" s="676"/>
      <c r="G160" s="677"/>
      <c r="H160" s="677"/>
      <c r="I160" s="677"/>
      <c r="J160" s="677"/>
      <c r="K160" s="677"/>
      <c r="L160" s="678" t="e">
        <f>L158+L159</f>
        <v>#VALUE!</v>
      </c>
      <c r="N160" s="170"/>
    </row>
    <row r="161" spans="1:14" s="12" customFormat="1">
      <c r="A161" s="679"/>
      <c r="B161" s="710" t="s">
        <v>2</v>
      </c>
      <c r="C161" s="681"/>
      <c r="D161" s="684"/>
      <c r="E161" s="682">
        <v>0.05</v>
      </c>
      <c r="F161" s="711"/>
      <c r="G161" s="712"/>
      <c r="H161" s="712"/>
      <c r="I161" s="712"/>
      <c r="J161" s="712"/>
      <c r="K161" s="712"/>
      <c r="L161" s="713" t="e">
        <f>L160*E161</f>
        <v>#VALUE!</v>
      </c>
      <c r="N161" s="170"/>
    </row>
    <row r="162" spans="1:14" s="12" customFormat="1">
      <c r="A162" s="679"/>
      <c r="B162" s="664" t="s">
        <v>28</v>
      </c>
      <c r="C162" s="681"/>
      <c r="D162" s="684"/>
      <c r="E162" s="684"/>
      <c r="F162" s="711"/>
      <c r="G162" s="712"/>
      <c r="H162" s="712"/>
      <c r="I162" s="712"/>
      <c r="J162" s="712"/>
      <c r="K162" s="712"/>
      <c r="L162" s="713" t="e">
        <f>L160+L161</f>
        <v>#VALUE!</v>
      </c>
      <c r="N162" s="170"/>
    </row>
    <row r="163" spans="1:14" s="12" customFormat="1" ht="31.5" hidden="1">
      <c r="A163" s="705"/>
      <c r="B163" s="714" t="s">
        <v>64</v>
      </c>
      <c r="C163" s="706"/>
      <c r="D163" s="670"/>
      <c r="E163" s="686">
        <v>0</v>
      </c>
      <c r="F163" s="707"/>
      <c r="G163" s="687"/>
      <c r="H163" s="687"/>
      <c r="I163" s="687"/>
      <c r="J163" s="687"/>
      <c r="K163" s="687"/>
      <c r="L163" s="708">
        <f>(I154)*E163</f>
        <v>0</v>
      </c>
      <c r="N163" s="170"/>
    </row>
    <row r="164" spans="1:14" s="12" customFormat="1" hidden="1">
      <c r="A164" s="705"/>
      <c r="B164" s="664" t="s">
        <v>28</v>
      </c>
      <c r="C164" s="706"/>
      <c r="D164" s="670"/>
      <c r="E164" s="670"/>
      <c r="F164" s="707"/>
      <c r="G164" s="687"/>
      <c r="H164" s="687"/>
      <c r="I164" s="663"/>
      <c r="J164" s="687"/>
      <c r="K164" s="687"/>
      <c r="L164" s="708" t="e">
        <f>L162+L163</f>
        <v>#VALUE!</v>
      </c>
      <c r="N164" s="170"/>
    </row>
    <row r="165" spans="1:14" s="12" customFormat="1">
      <c r="A165" s="679"/>
      <c r="B165" s="710" t="s">
        <v>3</v>
      </c>
      <c r="C165" s="681"/>
      <c r="D165" s="684"/>
      <c r="E165" s="684" t="s">
        <v>51</v>
      </c>
      <c r="F165" s="711"/>
      <c r="G165" s="712"/>
      <c r="H165" s="712"/>
      <c r="I165" s="712"/>
      <c r="J165" s="712"/>
      <c r="K165" s="712"/>
      <c r="L165" s="713" t="e">
        <f>L164*E165</f>
        <v>#VALUE!</v>
      </c>
      <c r="N165" s="170"/>
    </row>
    <row r="166" spans="1:14" s="12" customFormat="1">
      <c r="A166" s="696"/>
      <c r="B166" s="673" t="s">
        <v>101</v>
      </c>
      <c r="C166" s="674"/>
      <c r="D166" s="675"/>
      <c r="E166" s="675"/>
      <c r="F166" s="676"/>
      <c r="G166" s="677"/>
      <c r="H166" s="677"/>
      <c r="I166" s="677"/>
      <c r="J166" s="677"/>
      <c r="K166" s="677"/>
      <c r="L166" s="678" t="e">
        <f>L164+L165</f>
        <v>#VALUE!</v>
      </c>
      <c r="N166" s="170"/>
    </row>
    <row r="167" spans="1:14" s="12" customFormat="1" ht="16.5" thickBot="1">
      <c r="A167" s="715"/>
      <c r="B167" s="716"/>
      <c r="C167" s="717"/>
      <c r="D167" s="718"/>
      <c r="E167" s="718"/>
      <c r="F167" s="719"/>
      <c r="G167" s="720"/>
      <c r="H167" s="720"/>
      <c r="I167" s="720"/>
      <c r="J167" s="720"/>
      <c r="K167" s="720"/>
      <c r="L167" s="721"/>
      <c r="N167" s="170"/>
    </row>
    <row r="168" spans="1:14" s="12" customFormat="1" ht="16.5" thickBot="1">
      <c r="A168" s="689"/>
      <c r="B168" s="690" t="s">
        <v>72</v>
      </c>
      <c r="C168" s="691"/>
      <c r="D168" s="692"/>
      <c r="E168" s="692"/>
      <c r="F168" s="693"/>
      <c r="G168" s="694"/>
      <c r="H168" s="694"/>
      <c r="I168" s="694"/>
      <c r="J168" s="694"/>
      <c r="K168" s="694"/>
      <c r="L168" s="695" t="e">
        <f>L166</f>
        <v>#VALUE!</v>
      </c>
      <c r="N168" s="170"/>
    </row>
    <row r="169" spans="1:14" s="12" customFormat="1">
      <c r="A169" s="381"/>
      <c r="B169" s="3"/>
      <c r="C169" s="18"/>
      <c r="D169" s="66"/>
      <c r="E169" s="66"/>
      <c r="F169" s="113"/>
      <c r="G169" s="113"/>
      <c r="H169" s="113"/>
      <c r="I169" s="113"/>
      <c r="J169" s="113"/>
      <c r="K169" s="113"/>
      <c r="L169" s="160"/>
      <c r="N169" s="170"/>
    </row>
    <row r="170" spans="1:14" s="12" customFormat="1">
      <c r="A170" s="381"/>
      <c r="B170" s="114"/>
      <c r="C170" s="14"/>
      <c r="D170" s="66"/>
      <c r="E170" s="66"/>
      <c r="F170" s="113"/>
      <c r="G170" s="115"/>
      <c r="H170" s="115"/>
      <c r="I170" s="113"/>
      <c r="J170" s="113"/>
      <c r="K170" s="113"/>
      <c r="L170" s="160"/>
      <c r="N170" s="170"/>
    </row>
  </sheetData>
  <mergeCells count="40">
    <mergeCell ref="N7:N8"/>
    <mergeCell ref="D7:E7"/>
    <mergeCell ref="F7:G7"/>
    <mergeCell ref="A7:A8"/>
    <mergeCell ref="B7:B8"/>
    <mergeCell ref="C7:C8"/>
    <mergeCell ref="H7:I7"/>
    <mergeCell ref="J7:K7"/>
    <mergeCell ref="L7:L8"/>
    <mergeCell ref="A13:A14"/>
    <mergeCell ref="A16:A17"/>
    <mergeCell ref="A19:A23"/>
    <mergeCell ref="A1:L1"/>
    <mergeCell ref="A2:L2"/>
    <mergeCell ref="A4:L4"/>
    <mergeCell ref="A6:C6"/>
    <mergeCell ref="G6:J6"/>
    <mergeCell ref="A137:A144"/>
    <mergeCell ref="A102:A103"/>
    <mergeCell ref="A105:A109"/>
    <mergeCell ref="A28:A29"/>
    <mergeCell ref="A30:A32"/>
    <mergeCell ref="A33:A37"/>
    <mergeCell ref="A38:A44"/>
    <mergeCell ref="A110:A115"/>
    <mergeCell ref="A116:A121"/>
    <mergeCell ref="A125:A126"/>
    <mergeCell ref="A148:A152"/>
    <mergeCell ref="A47:A48"/>
    <mergeCell ref="A49:A53"/>
    <mergeCell ref="A54:A61"/>
    <mergeCell ref="A62:A63"/>
    <mergeCell ref="A64:A65"/>
    <mergeCell ref="A67:A74"/>
    <mergeCell ref="A75:A83"/>
    <mergeCell ref="A84:A89"/>
    <mergeCell ref="A90:A95"/>
    <mergeCell ref="A100:A101"/>
    <mergeCell ref="A127:A129"/>
    <mergeCell ref="A135:A136"/>
  </mergeCells>
  <conditionalFormatting sqref="B37:C37">
    <cfRule type="cellIs" dxfId="5" priority="6" stopIfTrue="1" operator="equal">
      <formula>8223.307275</formula>
    </cfRule>
  </conditionalFormatting>
  <conditionalFormatting sqref="B120">
    <cfRule type="cellIs" dxfId="4" priority="1" stopIfTrue="1" operator="equal">
      <formula>8223.307275</formula>
    </cfRule>
  </conditionalFormatting>
  <conditionalFormatting sqref="B121">
    <cfRule type="cellIs" dxfId="3" priority="3" stopIfTrue="1" operator="equal">
      <formula>8223.307275</formula>
    </cfRule>
  </conditionalFormatting>
  <conditionalFormatting sqref="B116">
    <cfRule type="cellIs" dxfId="2" priority="2" stopIfTrue="1" operator="equal">
      <formula>8223.307275</formula>
    </cfRule>
  </conditionalFormatting>
  <pageMargins left="0.6" right="0.13" top="0.47" bottom="0.22" header="0.31496062992125984" footer="0.11"/>
  <pageSetup scale="70" orientation="landscape" horizontalDpi="1200" verticalDpi="1200" r:id="rId1"/>
  <headerFooter>
    <oddHeader>&amp;R&amp;P--&amp;N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O112"/>
  <sheetViews>
    <sheetView view="pageBreakPreview" zoomScaleNormal="90" zoomScaleSheetLayoutView="100" workbookViewId="0">
      <selection activeCell="H101" sqref="H101"/>
    </sheetView>
  </sheetViews>
  <sheetFormatPr defaultColWidth="8.85546875" defaultRowHeight="15.75"/>
  <cols>
    <col min="1" max="1" width="7.140625" style="94" customWidth="1"/>
    <col min="2" max="2" width="59" style="3" customWidth="1"/>
    <col min="3" max="3" width="8" style="18" customWidth="1"/>
    <col min="4" max="4" width="11.5703125" style="66" customWidth="1"/>
    <col min="5" max="5" width="14.28515625" style="66" customWidth="1"/>
    <col min="6" max="6" width="9.42578125" style="93" customWidth="1"/>
    <col min="7" max="7" width="12.85546875" style="93" customWidth="1"/>
    <col min="8" max="8" width="8.7109375" style="93" customWidth="1"/>
    <col min="9" max="9" width="14.28515625" style="93" customWidth="1"/>
    <col min="10" max="10" width="8.42578125" style="93" customWidth="1"/>
    <col min="11" max="11" width="13.140625" style="93" customWidth="1"/>
    <col min="12" max="12" width="16.42578125" style="160" customWidth="1"/>
    <col min="13" max="13" width="21.140625" style="12" customWidth="1"/>
    <col min="14" max="14" width="30.5703125" style="170" customWidth="1"/>
    <col min="15" max="15" width="26.140625" style="12" customWidth="1"/>
    <col min="16" max="16384" width="8.85546875" style="12"/>
  </cols>
  <sheetData>
    <row r="1" spans="1:15" ht="51" customHeight="1">
      <c r="A1" s="618" t="str">
        <f>tavfurceli!B8</f>
        <v>dmanisis municipalitetis sofel zemo orozmanSi skveris mowyobis samuSaoebi</v>
      </c>
      <c r="B1" s="618"/>
      <c r="C1" s="618"/>
      <c r="D1" s="618"/>
      <c r="E1" s="618"/>
      <c r="F1" s="618"/>
      <c r="G1" s="618"/>
      <c r="H1" s="618"/>
      <c r="I1" s="618"/>
      <c r="J1" s="618"/>
      <c r="K1" s="618"/>
      <c r="L1" s="618"/>
      <c r="M1" s="102" t="s">
        <v>78</v>
      </c>
    </row>
    <row r="2" spans="1:15" ht="23.25" customHeight="1">
      <c r="A2" s="618" t="s">
        <v>84</v>
      </c>
      <c r="B2" s="618"/>
      <c r="C2" s="618"/>
      <c r="D2" s="618"/>
      <c r="E2" s="618"/>
      <c r="F2" s="618"/>
      <c r="G2" s="618"/>
      <c r="H2" s="618"/>
      <c r="I2" s="618"/>
      <c r="J2" s="618"/>
      <c r="K2" s="618"/>
      <c r="L2" s="618"/>
    </row>
    <row r="3" spans="1:15">
      <c r="A3" s="563"/>
      <c r="B3" s="537"/>
      <c r="C3" s="537"/>
      <c r="D3" s="537"/>
      <c r="E3" s="537"/>
      <c r="F3" s="537"/>
      <c r="G3" s="537"/>
      <c r="H3" s="537"/>
      <c r="I3" s="537"/>
      <c r="J3" s="537"/>
      <c r="K3" s="537"/>
      <c r="L3" s="215"/>
    </row>
    <row r="4" spans="1:15" ht="23.25" customHeight="1">
      <c r="A4" s="619" t="s">
        <v>258</v>
      </c>
      <c r="B4" s="619"/>
      <c r="C4" s="619"/>
      <c r="D4" s="619"/>
      <c r="E4" s="619"/>
      <c r="F4" s="619"/>
      <c r="G4" s="619"/>
      <c r="H4" s="619"/>
      <c r="I4" s="619"/>
      <c r="J4" s="619"/>
      <c r="K4" s="619"/>
      <c r="L4" s="619"/>
    </row>
    <row r="5" spans="1:15">
      <c r="A5" s="564"/>
      <c r="B5" s="161"/>
      <c r="C5" s="161"/>
      <c r="D5" s="161"/>
      <c r="E5" s="161"/>
      <c r="F5" s="161"/>
      <c r="G5" s="161"/>
      <c r="H5" s="161"/>
      <c r="I5" s="161"/>
      <c r="J5" s="161"/>
      <c r="K5" s="161"/>
      <c r="L5" s="215"/>
    </row>
    <row r="6" spans="1:15" ht="27" customHeight="1">
      <c r="A6" s="642"/>
      <c r="B6" s="643"/>
      <c r="C6" s="643"/>
      <c r="D6" s="125"/>
      <c r="E6" s="126"/>
      <c r="F6" s="127"/>
      <c r="G6" s="644" t="s">
        <v>80</v>
      </c>
      <c r="H6" s="644"/>
      <c r="I6" s="644"/>
      <c r="J6" s="644"/>
      <c r="K6" s="128" t="s">
        <v>11</v>
      </c>
      <c r="L6" s="216">
        <f>L110</f>
        <v>0</v>
      </c>
      <c r="N6" s="172"/>
    </row>
    <row r="7" spans="1:15" s="86" customFormat="1" ht="51.75" customHeight="1">
      <c r="A7" s="629" t="s">
        <v>0</v>
      </c>
      <c r="B7" s="631" t="s">
        <v>86</v>
      </c>
      <c r="C7" s="631" t="s">
        <v>87</v>
      </c>
      <c r="D7" s="625" t="s">
        <v>88</v>
      </c>
      <c r="E7" s="626"/>
      <c r="F7" s="627" t="s">
        <v>47</v>
      </c>
      <c r="G7" s="628"/>
      <c r="H7" s="627" t="s">
        <v>65</v>
      </c>
      <c r="I7" s="628"/>
      <c r="J7" s="627" t="s">
        <v>17</v>
      </c>
      <c r="K7" s="628"/>
      <c r="L7" s="633" t="s">
        <v>55</v>
      </c>
      <c r="N7" s="623" t="s">
        <v>89</v>
      </c>
      <c r="O7" s="149"/>
    </row>
    <row r="8" spans="1:15" s="86" customFormat="1" ht="31.5">
      <c r="A8" s="630"/>
      <c r="B8" s="632"/>
      <c r="C8" s="632"/>
      <c r="D8" s="150" t="s">
        <v>90</v>
      </c>
      <c r="E8" s="150" t="s">
        <v>10</v>
      </c>
      <c r="F8" s="151" t="s">
        <v>91</v>
      </c>
      <c r="G8" s="151" t="s">
        <v>92</v>
      </c>
      <c r="H8" s="151" t="s">
        <v>91</v>
      </c>
      <c r="I8" s="151" t="s">
        <v>92</v>
      </c>
      <c r="J8" s="151" t="s">
        <v>91</v>
      </c>
      <c r="K8" s="151" t="s">
        <v>92</v>
      </c>
      <c r="L8" s="634"/>
      <c r="N8" s="624"/>
      <c r="O8" s="149"/>
    </row>
    <row r="9" spans="1:15" s="86" customFormat="1" ht="16.5">
      <c r="A9" s="152">
        <v>1</v>
      </c>
      <c r="B9" s="154">
        <v>3</v>
      </c>
      <c r="C9" s="153">
        <v>4</v>
      </c>
      <c r="D9" s="155">
        <v>5</v>
      </c>
      <c r="E9" s="156">
        <v>6</v>
      </c>
      <c r="F9" s="155">
        <v>7</v>
      </c>
      <c r="G9" s="156">
        <v>8</v>
      </c>
      <c r="H9" s="155">
        <v>9</v>
      </c>
      <c r="I9" s="156">
        <v>10</v>
      </c>
      <c r="J9" s="155">
        <v>11</v>
      </c>
      <c r="K9" s="156">
        <v>12</v>
      </c>
      <c r="L9" s="155">
        <v>13</v>
      </c>
      <c r="M9" s="90"/>
      <c r="N9" s="156">
        <v>14</v>
      </c>
      <c r="O9" s="149"/>
    </row>
    <row r="10" spans="1:15" s="90" customFormat="1" ht="27">
      <c r="A10" s="565" t="s">
        <v>68</v>
      </c>
      <c r="B10" s="443" t="s">
        <v>258</v>
      </c>
      <c r="C10" s="442"/>
      <c r="D10" s="444"/>
      <c r="E10" s="445"/>
      <c r="F10" s="236"/>
      <c r="G10" s="31"/>
      <c r="H10" s="236"/>
      <c r="I10" s="31"/>
      <c r="J10" s="87"/>
      <c r="K10" s="31"/>
      <c r="L10" s="159"/>
    </row>
    <row r="11" spans="1:15" s="90" customFormat="1" ht="31.5">
      <c r="A11" s="566"/>
      <c r="B11" s="201" t="s">
        <v>259</v>
      </c>
      <c r="C11" s="446"/>
      <c r="D11" s="447"/>
      <c r="E11" s="448"/>
      <c r="F11" s="236"/>
      <c r="G11" s="31"/>
      <c r="H11" s="236"/>
      <c r="I11" s="31"/>
      <c r="J11" s="87"/>
      <c r="K11" s="31"/>
      <c r="L11" s="159"/>
    </row>
    <row r="12" spans="1:15" s="90" customFormat="1" ht="16.5">
      <c r="A12" s="567"/>
      <c r="B12" s="449" t="s">
        <v>186</v>
      </c>
      <c r="C12" s="450"/>
      <c r="D12" s="451"/>
      <c r="E12" s="452"/>
      <c r="F12" s="236"/>
      <c r="G12" s="31"/>
      <c r="H12" s="236"/>
      <c r="I12" s="31"/>
      <c r="J12" s="87"/>
      <c r="K12" s="31"/>
      <c r="L12" s="159"/>
    </row>
    <row r="13" spans="1:15" s="90" customFormat="1" ht="16.5">
      <c r="A13" s="568"/>
      <c r="B13" s="453" t="s">
        <v>187</v>
      </c>
      <c r="C13" s="243" t="s">
        <v>4</v>
      </c>
      <c r="D13" s="244"/>
      <c r="E13" s="454">
        <f>E14</f>
        <v>7</v>
      </c>
      <c r="F13" s="455"/>
      <c r="G13" s="455"/>
      <c r="H13" s="455"/>
      <c r="I13" s="455"/>
      <c r="J13" s="455"/>
      <c r="K13" s="455"/>
      <c r="L13" s="541"/>
    </row>
    <row r="14" spans="1:15" s="90" customFormat="1" ht="30.75">
      <c r="A14" s="569"/>
      <c r="B14" s="456" t="s">
        <v>270</v>
      </c>
      <c r="C14" s="243" t="s">
        <v>4</v>
      </c>
      <c r="D14" s="244"/>
      <c r="E14" s="454">
        <v>7</v>
      </c>
      <c r="F14" s="457"/>
      <c r="G14" s="457"/>
      <c r="H14" s="457"/>
      <c r="I14" s="457"/>
      <c r="J14" s="457"/>
      <c r="K14" s="457"/>
      <c r="L14" s="542"/>
    </row>
    <row r="15" spans="1:15" s="90" customFormat="1" ht="16.5">
      <c r="A15" s="569"/>
      <c r="B15" s="456"/>
      <c r="C15" s="243"/>
      <c r="D15" s="244"/>
      <c r="E15" s="454"/>
      <c r="F15" s="457"/>
      <c r="G15" s="457"/>
      <c r="H15" s="457"/>
      <c r="I15" s="457"/>
      <c r="J15" s="457"/>
      <c r="K15" s="457"/>
      <c r="L15" s="542"/>
    </row>
    <row r="16" spans="1:15" s="90" customFormat="1" ht="16.5">
      <c r="A16" s="458"/>
      <c r="B16" s="459" t="s">
        <v>188</v>
      </c>
      <c r="C16" s="460" t="s">
        <v>1</v>
      </c>
      <c r="D16" s="461"/>
      <c r="E16" s="461">
        <v>100</v>
      </c>
      <c r="F16" s="236"/>
      <c r="G16" s="31"/>
      <c r="H16" s="31"/>
      <c r="I16" s="31"/>
      <c r="J16" s="87"/>
      <c r="K16" s="31"/>
      <c r="L16" s="159"/>
    </row>
    <row r="17" spans="1:14" s="90" customFormat="1" ht="16.5" hidden="1">
      <c r="A17" s="639" t="s">
        <v>56</v>
      </c>
      <c r="B17" s="188" t="s">
        <v>273</v>
      </c>
      <c r="C17" s="191" t="s">
        <v>6</v>
      </c>
      <c r="D17" s="560">
        <f>E16*0.25*0.7</f>
        <v>17.5</v>
      </c>
      <c r="E17" s="192"/>
      <c r="F17" s="236"/>
      <c r="G17" s="31"/>
      <c r="H17" s="236"/>
      <c r="I17" s="31"/>
      <c r="J17" s="87"/>
      <c r="K17" s="31"/>
      <c r="L17" s="159"/>
    </row>
    <row r="18" spans="1:14" s="90" customFormat="1" ht="16.5" hidden="1">
      <c r="A18" s="639"/>
      <c r="B18" s="235" t="s">
        <v>189</v>
      </c>
      <c r="C18" s="463" t="s">
        <v>123</v>
      </c>
      <c r="D18" s="462">
        <v>2.06</v>
      </c>
      <c r="E18" s="196">
        <f>E17*D18</f>
        <v>0</v>
      </c>
      <c r="F18" s="236"/>
      <c r="G18" s="31"/>
      <c r="H18" s="236"/>
      <c r="I18" s="31"/>
      <c r="J18" s="87"/>
      <c r="K18" s="31"/>
      <c r="L18" s="159"/>
      <c r="N18" s="267" t="e">
        <f>I18/E17</f>
        <v>#DIV/0!</v>
      </c>
    </row>
    <row r="19" spans="1:14" s="90" customFormat="1" ht="16.5">
      <c r="A19" s="639" t="s">
        <v>57</v>
      </c>
      <c r="B19" s="188" t="s">
        <v>271</v>
      </c>
      <c r="C19" s="191" t="s">
        <v>6</v>
      </c>
      <c r="D19" s="559"/>
      <c r="E19" s="192">
        <f>E16*0.25*0.7</f>
        <v>17.5</v>
      </c>
      <c r="F19" s="236"/>
      <c r="G19" s="31"/>
      <c r="H19" s="236"/>
      <c r="I19" s="31"/>
      <c r="J19" s="87"/>
      <c r="K19" s="31"/>
      <c r="L19" s="159"/>
      <c r="N19" s="267"/>
    </row>
    <row r="20" spans="1:14" s="90" customFormat="1" ht="16.5">
      <c r="A20" s="639"/>
      <c r="B20" s="558" t="s">
        <v>13</v>
      </c>
      <c r="C20" s="507" t="s">
        <v>15</v>
      </c>
      <c r="D20" s="249">
        <f>34/1000</f>
        <v>3.4000000000000002E-2</v>
      </c>
      <c r="E20" s="13">
        <f>E19*D20</f>
        <v>0.59500000000000008</v>
      </c>
      <c r="F20" s="31"/>
      <c r="G20" s="28"/>
      <c r="H20" s="31"/>
      <c r="I20" s="28"/>
      <c r="J20" s="44"/>
      <c r="K20" s="28"/>
      <c r="L20" s="158"/>
      <c r="N20" s="267">
        <f>(I20+K21+K22)/E19</f>
        <v>0</v>
      </c>
    </row>
    <row r="21" spans="1:14" s="90" customFormat="1" ht="16.5">
      <c r="A21" s="639"/>
      <c r="B21" s="558" t="s">
        <v>272</v>
      </c>
      <c r="C21" s="507" t="s">
        <v>16</v>
      </c>
      <c r="D21" s="249">
        <f>80.3/1000</f>
        <v>8.0299999999999996E-2</v>
      </c>
      <c r="E21" s="13">
        <f>E19*D21</f>
        <v>1.4052499999999999</v>
      </c>
      <c r="F21" s="31"/>
      <c r="G21" s="28"/>
      <c r="H21" s="31"/>
      <c r="I21" s="28"/>
      <c r="J21" s="31"/>
      <c r="K21" s="208"/>
      <c r="L21" s="275"/>
      <c r="N21" s="267"/>
    </row>
    <row r="22" spans="1:14" s="90" customFormat="1" ht="16.5">
      <c r="A22" s="639"/>
      <c r="B22" s="558" t="s">
        <v>14</v>
      </c>
      <c r="C22" s="507" t="s">
        <v>11</v>
      </c>
      <c r="D22" s="249">
        <f>5.6/1000</f>
        <v>5.5999999999999999E-3</v>
      </c>
      <c r="E22" s="13">
        <f>E19*D22</f>
        <v>9.8000000000000004E-2</v>
      </c>
      <c r="F22" s="31"/>
      <c r="G22" s="28"/>
      <c r="H22" s="31"/>
      <c r="I22" s="28"/>
      <c r="J22" s="31"/>
      <c r="K22" s="208"/>
      <c r="L22" s="275"/>
      <c r="N22" s="267"/>
    </row>
    <row r="23" spans="1:14" s="90" customFormat="1" ht="16.5">
      <c r="A23" s="640" t="s">
        <v>35</v>
      </c>
      <c r="B23" s="465" t="s">
        <v>190</v>
      </c>
      <c r="C23" s="464" t="s">
        <v>6</v>
      </c>
      <c r="D23" s="466"/>
      <c r="E23" s="467">
        <f>E16*0.25*0.25</f>
        <v>6.25</v>
      </c>
      <c r="F23" s="236"/>
      <c r="G23" s="31"/>
      <c r="H23" s="236"/>
      <c r="I23" s="31"/>
      <c r="J23" s="87"/>
      <c r="K23" s="31"/>
      <c r="L23" s="159"/>
    </row>
    <row r="24" spans="1:14" s="90" customFormat="1" ht="16.5">
      <c r="A24" s="640"/>
      <c r="B24" s="469" t="s">
        <v>189</v>
      </c>
      <c r="C24" s="468" t="s">
        <v>123</v>
      </c>
      <c r="D24" s="466">
        <v>1.8</v>
      </c>
      <c r="E24" s="470">
        <f>E23*D24</f>
        <v>11.25</v>
      </c>
      <c r="F24" s="236"/>
      <c r="G24" s="31"/>
      <c r="H24" s="236"/>
      <c r="I24" s="31"/>
      <c r="J24" s="87"/>
      <c r="K24" s="31"/>
      <c r="L24" s="159"/>
      <c r="N24" s="267">
        <f>I24/E23</f>
        <v>0</v>
      </c>
    </row>
    <row r="25" spans="1:14" s="90" customFormat="1" ht="16.5">
      <c r="A25" s="640"/>
      <c r="B25" s="469" t="s">
        <v>192</v>
      </c>
      <c r="C25" s="468" t="s">
        <v>191</v>
      </c>
      <c r="D25" s="466">
        <v>1.1000000000000001</v>
      </c>
      <c r="E25" s="470">
        <f>E23*D25</f>
        <v>6.8750000000000009</v>
      </c>
      <c r="F25" s="236"/>
      <c r="G25" s="31"/>
      <c r="H25" s="236"/>
      <c r="I25" s="31"/>
      <c r="J25" s="87"/>
      <c r="K25" s="31"/>
      <c r="L25" s="159"/>
    </row>
    <row r="26" spans="1:14" s="90" customFormat="1" ht="31.5">
      <c r="A26" s="639" t="s">
        <v>58</v>
      </c>
      <c r="B26" s="471" t="s">
        <v>193</v>
      </c>
      <c r="C26" s="191" t="s">
        <v>1</v>
      </c>
      <c r="D26" s="462"/>
      <c r="E26" s="192">
        <v>100</v>
      </c>
      <c r="F26" s="236"/>
      <c r="G26" s="31"/>
      <c r="H26" s="236"/>
      <c r="I26" s="31"/>
      <c r="J26" s="87"/>
      <c r="K26" s="31"/>
      <c r="L26" s="159"/>
    </row>
    <row r="27" spans="1:14" s="90" customFormat="1" ht="16.5">
      <c r="A27" s="639"/>
      <c r="B27" s="235" t="s">
        <v>189</v>
      </c>
      <c r="C27" s="463" t="s">
        <v>123</v>
      </c>
      <c r="D27" s="462">
        <v>0.105</v>
      </c>
      <c r="E27" s="196">
        <f>E26*D27</f>
        <v>10.5</v>
      </c>
      <c r="F27" s="236"/>
      <c r="G27" s="31"/>
      <c r="H27" s="236"/>
      <c r="I27" s="31"/>
      <c r="J27" s="87"/>
      <c r="K27" s="31"/>
      <c r="L27" s="159"/>
      <c r="N27" s="267">
        <f>I27/E26</f>
        <v>0</v>
      </c>
    </row>
    <row r="28" spans="1:14" s="90" customFormat="1" ht="16.5">
      <c r="A28" s="639"/>
      <c r="B28" s="235" t="s">
        <v>195</v>
      </c>
      <c r="C28" s="463" t="s">
        <v>43</v>
      </c>
      <c r="D28" s="462">
        <v>5.3800000000000001E-2</v>
      </c>
      <c r="E28" s="196">
        <f>E26*D28</f>
        <v>5.38</v>
      </c>
      <c r="F28" s="236"/>
      <c r="G28" s="31"/>
      <c r="H28" s="236"/>
      <c r="I28" s="31"/>
      <c r="J28" s="87"/>
      <c r="K28" s="31"/>
      <c r="L28" s="159"/>
    </row>
    <row r="29" spans="1:14" s="90" customFormat="1" ht="31.5" hidden="1">
      <c r="A29" s="639"/>
      <c r="B29" s="472" t="s">
        <v>196</v>
      </c>
      <c r="C29" s="463" t="s">
        <v>194</v>
      </c>
      <c r="D29" s="462"/>
      <c r="E29" s="196">
        <v>0</v>
      </c>
      <c r="F29" s="236"/>
      <c r="G29" s="31"/>
      <c r="H29" s="236"/>
      <c r="I29" s="31"/>
      <c r="J29" s="87"/>
      <c r="K29" s="31"/>
      <c r="L29" s="159"/>
    </row>
    <row r="30" spans="1:14" s="90" customFormat="1" ht="31.5">
      <c r="A30" s="639"/>
      <c r="B30" s="472" t="s">
        <v>197</v>
      </c>
      <c r="C30" s="463" t="s">
        <v>1</v>
      </c>
      <c r="D30" s="462"/>
      <c r="E30" s="196">
        <v>220</v>
      </c>
      <c r="F30" s="236"/>
      <c r="G30" s="31"/>
      <c r="H30" s="236"/>
      <c r="I30" s="31"/>
      <c r="J30" s="87"/>
      <c r="K30" s="31"/>
      <c r="L30" s="159"/>
    </row>
    <row r="31" spans="1:14" s="90" customFormat="1" ht="31.5">
      <c r="A31" s="639"/>
      <c r="B31" s="472" t="s">
        <v>274</v>
      </c>
      <c r="C31" s="463" t="s">
        <v>1</v>
      </c>
      <c r="D31" s="462"/>
      <c r="E31" s="196">
        <v>50</v>
      </c>
      <c r="F31" s="236"/>
      <c r="G31" s="31"/>
      <c r="H31" s="236"/>
      <c r="I31" s="31"/>
      <c r="J31" s="87"/>
      <c r="K31" s="31"/>
      <c r="L31" s="159"/>
    </row>
    <row r="32" spans="1:14" s="90" customFormat="1" ht="16.5">
      <c r="A32" s="639"/>
      <c r="B32" s="235" t="s">
        <v>198</v>
      </c>
      <c r="C32" s="463" t="s">
        <v>43</v>
      </c>
      <c r="D32" s="462">
        <v>1.1999999999999999E-3</v>
      </c>
      <c r="E32" s="196">
        <f>E26*D32</f>
        <v>0.12</v>
      </c>
      <c r="F32" s="236"/>
      <c r="G32" s="31"/>
      <c r="H32" s="236"/>
      <c r="I32" s="31"/>
      <c r="J32" s="87"/>
      <c r="K32" s="31"/>
      <c r="L32" s="159"/>
    </row>
    <row r="33" spans="1:14" s="90" customFormat="1" ht="16.5">
      <c r="A33" s="641" t="s">
        <v>23</v>
      </c>
      <c r="B33" s="189" t="s">
        <v>277</v>
      </c>
      <c r="C33" s="65" t="s">
        <v>1</v>
      </c>
      <c r="D33" s="473"/>
      <c r="E33" s="41">
        <f>E16</f>
        <v>100</v>
      </c>
      <c r="F33" s="236"/>
      <c r="G33" s="31"/>
      <c r="H33" s="236"/>
      <c r="I33" s="31"/>
      <c r="J33" s="87"/>
      <c r="K33" s="31"/>
      <c r="L33" s="159"/>
    </row>
    <row r="34" spans="1:14" s="90" customFormat="1" ht="16.5">
      <c r="A34" s="641"/>
      <c r="B34" s="199" t="s">
        <v>189</v>
      </c>
      <c r="C34" s="463" t="s">
        <v>123</v>
      </c>
      <c r="D34" s="246">
        <f>11/1000</f>
        <v>1.0999999999999999E-2</v>
      </c>
      <c r="E34" s="40">
        <f>E33*D34</f>
        <v>1.0999999999999999</v>
      </c>
      <c r="F34" s="236"/>
      <c r="G34" s="31"/>
      <c r="H34" s="236"/>
      <c r="I34" s="31"/>
      <c r="J34" s="87"/>
      <c r="K34" s="31"/>
      <c r="L34" s="159"/>
      <c r="N34" s="267">
        <f>I34/E33</f>
        <v>0</v>
      </c>
    </row>
    <row r="35" spans="1:14" s="90" customFormat="1" ht="16.5">
      <c r="A35" s="641"/>
      <c r="B35" s="474" t="s">
        <v>199</v>
      </c>
      <c r="C35" s="475" t="s">
        <v>1</v>
      </c>
      <c r="D35" s="476"/>
      <c r="E35" s="477">
        <f>E33</f>
        <v>100</v>
      </c>
      <c r="F35" s="236"/>
      <c r="G35" s="31"/>
      <c r="H35" s="236"/>
      <c r="I35" s="31"/>
      <c r="J35" s="87"/>
      <c r="K35" s="31"/>
      <c r="L35" s="159"/>
    </row>
    <row r="36" spans="1:14" s="90" customFormat="1" ht="16.5" hidden="1">
      <c r="A36" s="635" t="s">
        <v>53</v>
      </c>
      <c r="B36" s="193" t="s">
        <v>276</v>
      </c>
      <c r="C36" s="194" t="s">
        <v>6</v>
      </c>
      <c r="D36" s="561">
        <f>E17+E19-E23</f>
        <v>11.25</v>
      </c>
      <c r="E36" s="195"/>
      <c r="F36" s="236"/>
      <c r="G36" s="31"/>
      <c r="H36" s="236"/>
      <c r="I36" s="31"/>
      <c r="J36" s="87"/>
      <c r="K36" s="31"/>
      <c r="L36" s="159"/>
    </row>
    <row r="37" spans="1:14" s="90" customFormat="1" ht="16.5" hidden="1">
      <c r="A37" s="635"/>
      <c r="B37" s="479" t="s">
        <v>189</v>
      </c>
      <c r="C37" s="179" t="s">
        <v>123</v>
      </c>
      <c r="D37" s="478">
        <v>1.21</v>
      </c>
      <c r="E37" s="180">
        <f>E36*D37</f>
        <v>0</v>
      </c>
      <c r="F37" s="236"/>
      <c r="G37" s="31"/>
      <c r="H37" s="236"/>
      <c r="I37" s="31"/>
      <c r="J37" s="87"/>
      <c r="K37" s="31"/>
      <c r="L37" s="159"/>
      <c r="N37" s="267" t="e">
        <f>I37/E36</f>
        <v>#DIV/0!</v>
      </c>
    </row>
    <row r="38" spans="1:14" s="90" customFormat="1" ht="31.5">
      <c r="A38" s="635" t="s">
        <v>59</v>
      </c>
      <c r="B38" s="193" t="s">
        <v>275</v>
      </c>
      <c r="C38" s="194" t="s">
        <v>6</v>
      </c>
      <c r="D38" s="478"/>
      <c r="E38" s="195">
        <f>E17+E19-E23</f>
        <v>11.25</v>
      </c>
      <c r="F38" s="236"/>
      <c r="G38" s="31"/>
      <c r="H38" s="236"/>
      <c r="I38" s="31"/>
      <c r="J38" s="87"/>
      <c r="K38" s="31"/>
      <c r="L38" s="159"/>
      <c r="N38" s="267"/>
    </row>
    <row r="39" spans="1:14" s="90" customFormat="1" ht="16.5">
      <c r="A39" s="635"/>
      <c r="B39" s="558" t="s">
        <v>13</v>
      </c>
      <c r="C39" s="507" t="s">
        <v>15</v>
      </c>
      <c r="D39" s="249">
        <f>34/1000</f>
        <v>3.4000000000000002E-2</v>
      </c>
      <c r="E39" s="13">
        <f>E38*D39</f>
        <v>0.38250000000000001</v>
      </c>
      <c r="F39" s="31"/>
      <c r="G39" s="28"/>
      <c r="H39" s="31"/>
      <c r="I39" s="28"/>
      <c r="J39" s="44"/>
      <c r="K39" s="28"/>
      <c r="L39" s="158"/>
      <c r="N39" s="267">
        <f>(I39+K40+K41)/E38</f>
        <v>0</v>
      </c>
    </row>
    <row r="40" spans="1:14" s="90" customFormat="1" ht="16.5">
      <c r="A40" s="635"/>
      <c r="B40" s="558" t="s">
        <v>272</v>
      </c>
      <c r="C40" s="507" t="s">
        <v>16</v>
      </c>
      <c r="D40" s="249">
        <f>80.3/1000</f>
        <v>8.0299999999999996E-2</v>
      </c>
      <c r="E40" s="13">
        <f>E38*D40</f>
        <v>0.90337499999999993</v>
      </c>
      <c r="F40" s="31"/>
      <c r="G40" s="28"/>
      <c r="H40" s="31"/>
      <c r="I40" s="28"/>
      <c r="J40" s="31"/>
      <c r="K40" s="208"/>
      <c r="L40" s="275"/>
      <c r="N40" s="267"/>
    </row>
    <row r="41" spans="1:14" s="90" customFormat="1" ht="16.5">
      <c r="A41" s="635"/>
      <c r="B41" s="558" t="s">
        <v>14</v>
      </c>
      <c r="C41" s="507" t="s">
        <v>11</v>
      </c>
      <c r="D41" s="249">
        <f>5.6/1000</f>
        <v>5.5999999999999999E-3</v>
      </c>
      <c r="E41" s="13">
        <f>E38*D41</f>
        <v>6.3E-2</v>
      </c>
      <c r="F41" s="31"/>
      <c r="G41" s="28"/>
      <c r="H41" s="31"/>
      <c r="I41" s="28"/>
      <c r="J41" s="31"/>
      <c r="K41" s="208"/>
      <c r="L41" s="275"/>
      <c r="N41" s="267"/>
    </row>
    <row r="42" spans="1:14" s="90" customFormat="1" ht="31.5" hidden="1">
      <c r="A42" s="635" t="s">
        <v>24</v>
      </c>
      <c r="B42" s="83" t="s">
        <v>118</v>
      </c>
      <c r="C42" s="163" t="s">
        <v>9</v>
      </c>
      <c r="D42" s="530">
        <f>(E17+E19-E38)*1.95</f>
        <v>12.1875</v>
      </c>
      <c r="E42" s="38"/>
      <c r="F42" s="44"/>
      <c r="G42" s="31"/>
      <c r="H42" s="44"/>
      <c r="I42" s="31"/>
      <c r="J42" s="44"/>
      <c r="K42" s="31"/>
      <c r="L42" s="159"/>
    </row>
    <row r="43" spans="1:14" s="90" customFormat="1" ht="16.5" hidden="1">
      <c r="A43" s="635"/>
      <c r="B43" s="84" t="s">
        <v>22</v>
      </c>
      <c r="C43" s="26" t="s">
        <v>15</v>
      </c>
      <c r="D43" s="95">
        <v>0.53</v>
      </c>
      <c r="E43" s="29">
        <f>E42*D43</f>
        <v>0</v>
      </c>
      <c r="F43" s="44"/>
      <c r="G43" s="31"/>
      <c r="H43" s="44"/>
      <c r="I43" s="31"/>
      <c r="J43" s="44"/>
      <c r="K43" s="31"/>
      <c r="L43" s="159"/>
      <c r="N43" s="267" t="e">
        <f>I43/E42</f>
        <v>#DIV/0!</v>
      </c>
    </row>
    <row r="44" spans="1:14" s="90" customFormat="1" ht="31.5">
      <c r="A44" s="635" t="s">
        <v>31</v>
      </c>
      <c r="B44" s="83" t="s">
        <v>278</v>
      </c>
      <c r="C44" s="562" t="s">
        <v>6</v>
      </c>
      <c r="D44" s="95"/>
      <c r="E44" s="38">
        <f>E17+E19-E38</f>
        <v>6.25</v>
      </c>
      <c r="F44" s="44"/>
      <c r="G44" s="31"/>
      <c r="H44" s="44"/>
      <c r="I44" s="31"/>
      <c r="J44" s="44"/>
      <c r="K44" s="31"/>
      <c r="L44" s="159"/>
      <c r="N44" s="267"/>
    </row>
    <row r="45" spans="1:14" s="90" customFormat="1" ht="16.5">
      <c r="A45" s="635"/>
      <c r="B45" s="558" t="s">
        <v>13</v>
      </c>
      <c r="C45" s="507" t="s">
        <v>15</v>
      </c>
      <c r="D45" s="249">
        <f>20/1000</f>
        <v>0.02</v>
      </c>
      <c r="E45" s="13">
        <f>E44*D45</f>
        <v>0.125</v>
      </c>
      <c r="F45" s="31"/>
      <c r="G45" s="28"/>
      <c r="H45" s="31"/>
      <c r="I45" s="28"/>
      <c r="J45" s="44"/>
      <c r="K45" s="28"/>
      <c r="L45" s="158"/>
      <c r="N45" s="267">
        <f>(I45+K46+K47)/E44</f>
        <v>0</v>
      </c>
    </row>
    <row r="46" spans="1:14" s="90" customFormat="1" ht="16.5">
      <c r="A46" s="635"/>
      <c r="B46" s="558" t="s">
        <v>279</v>
      </c>
      <c r="C46" s="507" t="s">
        <v>16</v>
      </c>
      <c r="D46" s="249">
        <f>44.8/1000</f>
        <v>4.48E-2</v>
      </c>
      <c r="E46" s="13">
        <f>E44*D46</f>
        <v>0.27999999999999997</v>
      </c>
      <c r="F46" s="31"/>
      <c r="G46" s="28"/>
      <c r="H46" s="31"/>
      <c r="I46" s="28"/>
      <c r="J46" s="31"/>
      <c r="K46" s="208"/>
      <c r="L46" s="275"/>
      <c r="N46" s="267"/>
    </row>
    <row r="47" spans="1:14" s="90" customFormat="1" ht="16.5">
      <c r="A47" s="635"/>
      <c r="B47" s="558" t="s">
        <v>14</v>
      </c>
      <c r="C47" s="507" t="s">
        <v>11</v>
      </c>
      <c r="D47" s="249">
        <f>2.1/1000</f>
        <v>2.1000000000000003E-3</v>
      </c>
      <c r="E47" s="13">
        <f>E44*D47</f>
        <v>1.3125000000000001E-2</v>
      </c>
      <c r="F47" s="31"/>
      <c r="G47" s="28"/>
      <c r="H47" s="31"/>
      <c r="I47" s="28"/>
      <c r="J47" s="31"/>
      <c r="K47" s="208"/>
      <c r="L47" s="275"/>
      <c r="N47" s="267"/>
    </row>
    <row r="48" spans="1:14" s="90" customFormat="1" ht="31.5">
      <c r="A48" s="480" t="s">
        <v>60</v>
      </c>
      <c r="B48" s="248" t="s">
        <v>135</v>
      </c>
      <c r="C48" s="163" t="s">
        <v>9</v>
      </c>
      <c r="D48" s="68"/>
      <c r="E48" s="38">
        <f>E44*1.95</f>
        <v>12.1875</v>
      </c>
      <c r="F48" s="44"/>
      <c r="G48" s="31"/>
      <c r="H48" s="44"/>
      <c r="I48" s="31"/>
      <c r="J48" s="44"/>
      <c r="K48" s="31"/>
      <c r="L48" s="159"/>
    </row>
    <row r="49" spans="1:14" s="90" customFormat="1" ht="31.5">
      <c r="A49" s="570"/>
      <c r="B49" s="482" t="s">
        <v>288</v>
      </c>
      <c r="C49" s="481"/>
      <c r="D49" s="483"/>
      <c r="E49" s="484"/>
      <c r="F49" s="236"/>
      <c r="G49" s="31"/>
      <c r="H49" s="236"/>
      <c r="I49" s="31"/>
      <c r="J49" s="87"/>
      <c r="K49" s="31"/>
      <c r="L49" s="159"/>
    </row>
    <row r="50" spans="1:14" s="90" customFormat="1" ht="16.5">
      <c r="A50" s="636" t="s">
        <v>56</v>
      </c>
      <c r="B50" s="80" t="s">
        <v>200</v>
      </c>
      <c r="C50" s="21" t="s">
        <v>6</v>
      </c>
      <c r="D50" s="39"/>
      <c r="E50" s="37">
        <f>0.5*0.5*1.1*(E14)</f>
        <v>1.9250000000000003</v>
      </c>
      <c r="F50" s="28"/>
      <c r="G50" s="28"/>
      <c r="H50" s="28"/>
      <c r="I50" s="28"/>
      <c r="J50" s="28"/>
      <c r="K50" s="28"/>
      <c r="L50" s="158"/>
    </row>
    <row r="51" spans="1:14" s="90" customFormat="1" ht="16.5">
      <c r="A51" s="638"/>
      <c r="B51" s="59" t="s">
        <v>114</v>
      </c>
      <c r="C51" s="255" t="s">
        <v>15</v>
      </c>
      <c r="D51" s="253">
        <v>3.88</v>
      </c>
      <c r="E51" s="33">
        <f>E50*D51</f>
        <v>7.4690000000000012</v>
      </c>
      <c r="F51" s="56"/>
      <c r="G51" s="56"/>
      <c r="H51" s="56"/>
      <c r="I51" s="56"/>
      <c r="J51" s="56"/>
      <c r="K51" s="56"/>
      <c r="L51" s="168"/>
      <c r="N51" s="267">
        <f>I51/E50</f>
        <v>0</v>
      </c>
    </row>
    <row r="52" spans="1:14" s="90" customFormat="1" ht="31.5">
      <c r="A52" s="636" t="s">
        <v>57</v>
      </c>
      <c r="B52" s="256" t="s">
        <v>118</v>
      </c>
      <c r="C52" s="169" t="s">
        <v>9</v>
      </c>
      <c r="D52" s="242"/>
      <c r="E52" s="211">
        <f>E50*1.95</f>
        <v>3.7537500000000006</v>
      </c>
      <c r="F52" s="31"/>
      <c r="G52" s="31"/>
      <c r="H52" s="31"/>
      <c r="I52" s="31"/>
      <c r="J52" s="31"/>
      <c r="K52" s="31"/>
      <c r="L52" s="159"/>
    </row>
    <row r="53" spans="1:14" s="90" customFormat="1" ht="16.5">
      <c r="A53" s="638"/>
      <c r="B53" s="217" t="s">
        <v>19</v>
      </c>
      <c r="C53" s="25" t="s">
        <v>15</v>
      </c>
      <c r="D53" s="175">
        <v>0.53</v>
      </c>
      <c r="E53" s="212">
        <f>E52*D53</f>
        <v>1.9894875000000005</v>
      </c>
      <c r="F53" s="31"/>
      <c r="G53" s="31"/>
      <c r="H53" s="31"/>
      <c r="I53" s="31"/>
      <c r="J53" s="31"/>
      <c r="K53" s="31"/>
      <c r="L53" s="159"/>
      <c r="N53" s="267">
        <f>I53/E52</f>
        <v>0</v>
      </c>
    </row>
    <row r="54" spans="1:14" s="90" customFormat="1" ht="31.5">
      <c r="A54" s="281" t="s">
        <v>35</v>
      </c>
      <c r="B54" s="248" t="s">
        <v>135</v>
      </c>
      <c r="C54" s="163" t="s">
        <v>9</v>
      </c>
      <c r="D54" s="257"/>
      <c r="E54" s="211">
        <f>E52</f>
        <v>3.7537500000000006</v>
      </c>
      <c r="F54" s="31"/>
      <c r="G54" s="31"/>
      <c r="H54" s="31"/>
      <c r="I54" s="31"/>
      <c r="J54" s="44"/>
      <c r="K54" s="31"/>
      <c r="L54" s="159"/>
    </row>
    <row r="55" spans="1:14" s="90" customFormat="1" ht="31.5">
      <c r="A55" s="636" t="s">
        <v>58</v>
      </c>
      <c r="B55" s="280" t="s">
        <v>124</v>
      </c>
      <c r="C55" s="163" t="s">
        <v>6</v>
      </c>
      <c r="D55" s="17"/>
      <c r="E55" s="78">
        <f>0.5*0.5*0.1*(E14)</f>
        <v>0.17500000000000002</v>
      </c>
      <c r="F55" s="31"/>
      <c r="G55" s="31"/>
      <c r="H55" s="31"/>
      <c r="I55" s="31"/>
      <c r="J55" s="31"/>
      <c r="K55" s="31"/>
      <c r="L55" s="159"/>
    </row>
    <row r="56" spans="1:14" s="90" customFormat="1" ht="16.5">
      <c r="A56" s="637"/>
      <c r="B56" s="48" t="s">
        <v>46</v>
      </c>
      <c r="C56" s="290" t="s">
        <v>40</v>
      </c>
      <c r="D56" s="17">
        <v>3.52</v>
      </c>
      <c r="E56" s="33">
        <f>D56*E55</f>
        <v>0.6160000000000001</v>
      </c>
      <c r="F56" s="31"/>
      <c r="G56" s="31"/>
      <c r="H56" s="31"/>
      <c r="I56" s="31"/>
      <c r="J56" s="31"/>
      <c r="K56" s="31"/>
      <c r="L56" s="159"/>
      <c r="N56" s="267">
        <f>I56/E55</f>
        <v>0</v>
      </c>
    </row>
    <row r="57" spans="1:14" s="90" customFormat="1" ht="16.5">
      <c r="A57" s="637"/>
      <c r="B57" s="48" t="s">
        <v>20</v>
      </c>
      <c r="C57" s="290" t="s">
        <v>11</v>
      </c>
      <c r="D57" s="17">
        <v>1.06</v>
      </c>
      <c r="E57" s="33">
        <f>E55*D57</f>
        <v>0.18550000000000003</v>
      </c>
      <c r="F57" s="31"/>
      <c r="G57" s="31"/>
      <c r="H57" s="31"/>
      <c r="I57" s="31"/>
      <c r="J57" s="31"/>
      <c r="K57" s="31"/>
      <c r="L57" s="159"/>
      <c r="N57" s="267"/>
    </row>
    <row r="58" spans="1:14" s="90" customFormat="1" ht="16.5">
      <c r="A58" s="637"/>
      <c r="B58" s="48" t="s">
        <v>125</v>
      </c>
      <c r="C58" s="290" t="s">
        <v>50</v>
      </c>
      <c r="D58" s="17">
        <f>0.18+0.09+0.97</f>
        <v>1.24</v>
      </c>
      <c r="E58" s="33">
        <f>D58*E55</f>
        <v>0.21700000000000003</v>
      </c>
      <c r="F58" s="31"/>
      <c r="G58" s="31"/>
      <c r="H58" s="31"/>
      <c r="I58" s="31"/>
      <c r="J58" s="31"/>
      <c r="K58" s="31"/>
      <c r="L58" s="159"/>
    </row>
    <row r="59" spans="1:14" s="90" customFormat="1" ht="16.5">
      <c r="A59" s="638"/>
      <c r="B59" s="258" t="s">
        <v>18</v>
      </c>
      <c r="C59" s="57" t="s">
        <v>11</v>
      </c>
      <c r="D59" s="17">
        <v>0.02</v>
      </c>
      <c r="E59" s="33">
        <f>E55*D59</f>
        <v>3.5000000000000005E-3</v>
      </c>
      <c r="F59" s="56"/>
      <c r="G59" s="31"/>
      <c r="H59" s="236"/>
      <c r="I59" s="31"/>
      <c r="J59" s="87"/>
      <c r="K59" s="31"/>
      <c r="L59" s="159"/>
    </row>
    <row r="60" spans="1:14" s="90" customFormat="1" ht="16.5">
      <c r="A60" s="639" t="s">
        <v>23</v>
      </c>
      <c r="B60" s="188" t="s">
        <v>201</v>
      </c>
      <c r="C60" s="191" t="s">
        <v>191</v>
      </c>
      <c r="D60" s="462"/>
      <c r="E60" s="192">
        <f>0.4*0.4*(1)*(E14)+(0.5*0.5*1+0.3*0.3*0.3)</f>
        <v>1.3970000000000002</v>
      </c>
      <c r="F60" s="236"/>
      <c r="G60" s="31"/>
      <c r="H60" s="236"/>
      <c r="I60" s="31"/>
      <c r="J60" s="87"/>
      <c r="K60" s="31"/>
      <c r="L60" s="159"/>
    </row>
    <row r="61" spans="1:14" s="90" customFormat="1" ht="16.5">
      <c r="A61" s="639"/>
      <c r="B61" s="235" t="s">
        <v>189</v>
      </c>
      <c r="C61" s="463" t="s">
        <v>123</v>
      </c>
      <c r="D61" s="462">
        <v>1.37</v>
      </c>
      <c r="E61" s="196">
        <f>E60*D61</f>
        <v>1.9138900000000005</v>
      </c>
      <c r="F61" s="236"/>
      <c r="G61" s="31"/>
      <c r="H61" s="236"/>
      <c r="I61" s="31"/>
      <c r="J61" s="87"/>
      <c r="K61" s="31"/>
      <c r="L61" s="159"/>
      <c r="N61" s="267">
        <f>I61/E60</f>
        <v>0</v>
      </c>
    </row>
    <row r="62" spans="1:14" s="90" customFormat="1" ht="16.5">
      <c r="A62" s="639"/>
      <c r="B62" s="235" t="s">
        <v>195</v>
      </c>
      <c r="C62" s="463" t="s">
        <v>43</v>
      </c>
      <c r="D62" s="462">
        <v>0.28299999999999997</v>
      </c>
      <c r="E62" s="196">
        <f>E60*D62</f>
        <v>0.39535100000000001</v>
      </c>
      <c r="F62" s="236"/>
      <c r="G62" s="31"/>
      <c r="H62" s="236"/>
      <c r="I62" s="31"/>
      <c r="J62" s="87"/>
      <c r="K62" s="31"/>
      <c r="L62" s="159"/>
    </row>
    <row r="63" spans="1:14" s="90" customFormat="1" ht="16.5">
      <c r="A63" s="639"/>
      <c r="B63" s="235" t="s">
        <v>202</v>
      </c>
      <c r="C63" s="463" t="s">
        <v>191</v>
      </c>
      <c r="D63" s="462">
        <v>1.02</v>
      </c>
      <c r="E63" s="196">
        <f>E60*D63</f>
        <v>1.4249400000000003</v>
      </c>
      <c r="F63" s="236"/>
      <c r="G63" s="31"/>
      <c r="H63" s="236"/>
      <c r="I63" s="31"/>
      <c r="J63" s="87"/>
      <c r="K63" s="31"/>
      <c r="L63" s="159"/>
    </row>
    <row r="64" spans="1:14" s="90" customFormat="1" ht="16.5">
      <c r="A64" s="639"/>
      <c r="B64" s="485" t="s">
        <v>203</v>
      </c>
      <c r="C64" s="290" t="s">
        <v>204</v>
      </c>
      <c r="D64" s="462">
        <v>1.03</v>
      </c>
      <c r="E64" s="486">
        <f>0.4*4*2*1.05*0.395/1000*(E14)+0.5*4*2*1.05*0.395/1000</f>
        <v>1.0949400000000001E-2</v>
      </c>
      <c r="F64" s="171"/>
      <c r="G64" s="31"/>
      <c r="H64" s="236"/>
      <c r="I64" s="31"/>
      <c r="J64" s="87"/>
      <c r="K64" s="31"/>
      <c r="L64" s="159"/>
    </row>
    <row r="65" spans="1:14" s="90" customFormat="1" ht="16.5">
      <c r="A65" s="639"/>
      <c r="B65" s="479" t="s">
        <v>205</v>
      </c>
      <c r="C65" s="487" t="s">
        <v>43</v>
      </c>
      <c r="D65" s="478">
        <v>0.62</v>
      </c>
      <c r="E65" s="180">
        <f>E60*D65</f>
        <v>0.86614000000000013</v>
      </c>
      <c r="F65" s="236"/>
      <c r="G65" s="31"/>
      <c r="H65" s="31"/>
      <c r="I65" s="31"/>
      <c r="J65" s="87"/>
      <c r="K65" s="31"/>
      <c r="L65" s="159"/>
    </row>
    <row r="66" spans="1:14" s="90" customFormat="1" ht="31.5">
      <c r="A66" s="604" t="s">
        <v>59</v>
      </c>
      <c r="B66" s="189" t="s">
        <v>122</v>
      </c>
      <c r="C66" s="65" t="s">
        <v>7</v>
      </c>
      <c r="D66" s="40"/>
      <c r="E66" s="41">
        <f>(0.15+0.15)*1.1</f>
        <v>0.33</v>
      </c>
      <c r="F66" s="31"/>
      <c r="G66" s="31"/>
      <c r="H66" s="31"/>
      <c r="I66" s="31"/>
      <c r="J66" s="31"/>
      <c r="K66" s="31"/>
      <c r="L66" s="159"/>
      <c r="M66" s="431"/>
      <c r="N66" s="268"/>
    </row>
    <row r="67" spans="1:14" s="90" customFormat="1" ht="16.5">
      <c r="A67" s="605"/>
      <c r="B67" s="54" t="s">
        <v>13</v>
      </c>
      <c r="C67" s="112" t="s">
        <v>15</v>
      </c>
      <c r="D67" s="10">
        <v>0.68</v>
      </c>
      <c r="E67" s="33">
        <f>E66*D67</f>
        <v>0.22440000000000002</v>
      </c>
      <c r="F67" s="171"/>
      <c r="G67" s="56"/>
      <c r="H67" s="171"/>
      <c r="I67" s="56"/>
      <c r="J67" s="171"/>
      <c r="K67" s="56"/>
      <c r="L67" s="168"/>
      <c r="M67" s="431"/>
      <c r="N67" s="267">
        <f>(I67)/E66</f>
        <v>0</v>
      </c>
    </row>
    <row r="68" spans="1:14" s="90" customFormat="1" ht="16.5">
      <c r="A68" s="605"/>
      <c r="B68" s="54" t="s">
        <v>20</v>
      </c>
      <c r="C68" s="112" t="s">
        <v>11</v>
      </c>
      <c r="D68" s="10">
        <v>2.9999999999999997E-4</v>
      </c>
      <c r="E68" s="33">
        <f>E66*D68</f>
        <v>9.8999999999999994E-5</v>
      </c>
      <c r="F68" s="171"/>
      <c r="G68" s="56"/>
      <c r="H68" s="171"/>
      <c r="I68" s="56"/>
      <c r="J68" s="171"/>
      <c r="K68" s="56"/>
      <c r="L68" s="168"/>
      <c r="M68" s="431"/>
      <c r="N68" s="268"/>
    </row>
    <row r="69" spans="1:14" s="90" customFormat="1" ht="16.5">
      <c r="A69" s="605"/>
      <c r="B69" s="181" t="s">
        <v>98</v>
      </c>
      <c r="C69" s="182" t="s">
        <v>214</v>
      </c>
      <c r="D69" s="245">
        <v>0.35</v>
      </c>
      <c r="E69" s="245">
        <f>D69*E66</f>
        <v>0.11549999999999999</v>
      </c>
      <c r="F69" s="171"/>
      <c r="G69" s="171"/>
      <c r="H69" s="171"/>
      <c r="I69" s="171"/>
      <c r="J69" s="171"/>
      <c r="K69" s="171"/>
      <c r="L69" s="276"/>
      <c r="M69" s="431"/>
      <c r="N69" s="268"/>
    </row>
    <row r="70" spans="1:14" s="90" customFormat="1" ht="16.5">
      <c r="A70" s="605"/>
      <c r="B70" s="181" t="s">
        <v>119</v>
      </c>
      <c r="C70" s="182" t="s">
        <v>214</v>
      </c>
      <c r="D70" s="245">
        <v>2.7E-2</v>
      </c>
      <c r="E70" s="245">
        <f>D70*E66</f>
        <v>8.9099999999999995E-3</v>
      </c>
      <c r="F70" s="171"/>
      <c r="G70" s="171"/>
      <c r="H70" s="171"/>
      <c r="I70" s="171"/>
      <c r="J70" s="171"/>
      <c r="K70" s="171"/>
      <c r="L70" s="276"/>
      <c r="M70" s="431"/>
      <c r="N70" s="268"/>
    </row>
    <row r="71" spans="1:14" s="90" customFormat="1" ht="16.5">
      <c r="A71" s="606"/>
      <c r="B71" s="54" t="s">
        <v>21</v>
      </c>
      <c r="C71" s="112" t="s">
        <v>11</v>
      </c>
      <c r="D71" s="10">
        <v>1.9E-3</v>
      </c>
      <c r="E71" s="33">
        <f>E66*D71</f>
        <v>6.2700000000000006E-4</v>
      </c>
      <c r="F71" s="171"/>
      <c r="G71" s="56"/>
      <c r="H71" s="171"/>
      <c r="I71" s="56"/>
      <c r="J71" s="171"/>
      <c r="K71" s="56"/>
      <c r="L71" s="168"/>
      <c r="M71" s="431"/>
      <c r="N71" s="268"/>
    </row>
    <row r="72" spans="1:14" s="90" customFormat="1" ht="16.5">
      <c r="A72" s="571"/>
      <c r="B72" s="479"/>
      <c r="C72" s="487"/>
      <c r="D72" s="478"/>
      <c r="E72" s="180"/>
      <c r="F72" s="236"/>
      <c r="G72" s="31"/>
      <c r="H72" s="31"/>
      <c r="I72" s="31"/>
      <c r="J72" s="87"/>
      <c r="K72" s="31"/>
      <c r="L72" s="159"/>
    </row>
    <row r="73" spans="1:14" s="90" customFormat="1" ht="16.5">
      <c r="A73" s="722"/>
      <c r="B73" s="710" t="s">
        <v>262</v>
      </c>
      <c r="C73" s="723"/>
      <c r="D73" s="724"/>
      <c r="E73" s="684"/>
      <c r="F73" s="725"/>
      <c r="G73" s="711"/>
      <c r="H73" s="711"/>
      <c r="I73" s="711"/>
      <c r="J73" s="711"/>
      <c r="K73" s="711"/>
      <c r="L73" s="726"/>
      <c r="M73" s="88">
        <f>G73+I73+K73</f>
        <v>0</v>
      </c>
    </row>
    <row r="74" spans="1:14" s="90" customFormat="1" ht="47.25">
      <c r="A74" s="722"/>
      <c r="B74" s="697" t="s">
        <v>69</v>
      </c>
      <c r="C74" s="727"/>
      <c r="D74" s="728"/>
      <c r="E74" s="661" t="s">
        <v>292</v>
      </c>
      <c r="F74" s="729"/>
      <c r="G74" s="729"/>
      <c r="H74" s="729"/>
      <c r="I74" s="729"/>
      <c r="J74" s="729"/>
      <c r="K74" s="729"/>
      <c r="L74" s="740"/>
    </row>
    <row r="75" spans="1:14" s="90" customFormat="1" ht="16.5">
      <c r="A75" s="722"/>
      <c r="B75" s="664" t="s">
        <v>28</v>
      </c>
      <c r="C75" s="727"/>
      <c r="D75" s="728"/>
      <c r="E75" s="730"/>
      <c r="F75" s="729"/>
      <c r="G75" s="729"/>
      <c r="H75" s="729"/>
      <c r="I75" s="729"/>
      <c r="J75" s="729"/>
      <c r="K75" s="729"/>
      <c r="L75" s="740"/>
    </row>
    <row r="76" spans="1:14" s="90" customFormat="1" ht="16.5">
      <c r="A76" s="722"/>
      <c r="B76" s="700" t="s">
        <v>30</v>
      </c>
      <c r="C76" s="727"/>
      <c r="D76" s="728"/>
      <c r="E76" s="667" t="s">
        <v>292</v>
      </c>
      <c r="F76" s="729"/>
      <c r="G76" s="729"/>
      <c r="H76" s="729"/>
      <c r="I76" s="729"/>
      <c r="J76" s="729"/>
      <c r="K76" s="729"/>
      <c r="L76" s="740"/>
    </row>
    <row r="77" spans="1:14" s="90" customFormat="1" ht="16.5">
      <c r="A77" s="731"/>
      <c r="B77" s="664" t="s">
        <v>28</v>
      </c>
      <c r="C77" s="732"/>
      <c r="D77" s="733"/>
      <c r="E77" s="730"/>
      <c r="F77" s="734"/>
      <c r="G77" s="734"/>
      <c r="H77" s="734"/>
      <c r="I77" s="734"/>
      <c r="J77" s="734"/>
      <c r="K77" s="734"/>
      <c r="L77" s="738"/>
    </row>
    <row r="78" spans="1:14" s="90" customFormat="1" ht="16.5">
      <c r="A78" s="731"/>
      <c r="B78" s="709" t="s">
        <v>25</v>
      </c>
      <c r="C78" s="732"/>
      <c r="D78" s="733"/>
      <c r="E78" s="735" t="s">
        <v>292</v>
      </c>
      <c r="F78" s="734"/>
      <c r="G78" s="734"/>
      <c r="H78" s="734"/>
      <c r="I78" s="734"/>
      <c r="J78" s="734"/>
      <c r="K78" s="734"/>
      <c r="L78" s="738"/>
    </row>
    <row r="79" spans="1:14" s="90" customFormat="1" ht="16.5">
      <c r="A79" s="731"/>
      <c r="B79" s="736" t="s">
        <v>261</v>
      </c>
      <c r="C79" s="732"/>
      <c r="D79" s="733"/>
      <c r="E79" s="737"/>
      <c r="F79" s="734"/>
      <c r="G79" s="734"/>
      <c r="H79" s="734"/>
      <c r="I79" s="734"/>
      <c r="J79" s="734"/>
      <c r="K79" s="734"/>
      <c r="L79" s="738"/>
    </row>
    <row r="80" spans="1:14" s="90" customFormat="1" ht="16.5">
      <c r="A80" s="572"/>
      <c r="B80" s="488" t="s">
        <v>206</v>
      </c>
      <c r="C80" s="489"/>
      <c r="D80" s="490"/>
      <c r="E80" s="491"/>
      <c r="F80" s="455"/>
      <c r="G80" s="252"/>
      <c r="H80" s="455"/>
      <c r="I80" s="252"/>
      <c r="J80" s="492"/>
      <c r="K80" s="252"/>
      <c r="L80" s="277"/>
    </row>
    <row r="81" spans="1:14" s="90" customFormat="1" ht="31.5">
      <c r="A81" s="636" t="s">
        <v>56</v>
      </c>
      <c r="B81" s="47" t="s">
        <v>207</v>
      </c>
      <c r="C81" s="163" t="s">
        <v>12</v>
      </c>
      <c r="D81" s="17"/>
      <c r="E81" s="15">
        <f>E84</f>
        <v>7</v>
      </c>
      <c r="F81" s="31"/>
      <c r="G81" s="31"/>
      <c r="H81" s="31"/>
      <c r="I81" s="31"/>
      <c r="J81" s="31"/>
      <c r="K81" s="31"/>
      <c r="L81" s="159"/>
    </row>
    <row r="82" spans="1:14" s="90" customFormat="1" ht="16.5">
      <c r="A82" s="637"/>
      <c r="B82" s="493" t="s">
        <v>189</v>
      </c>
      <c r="C82" s="179" t="s">
        <v>123</v>
      </c>
      <c r="D82" s="478">
        <v>1</v>
      </c>
      <c r="E82" s="180">
        <f>E81*D82</f>
        <v>7</v>
      </c>
      <c r="F82" s="236"/>
      <c r="G82" s="31"/>
      <c r="H82" s="236"/>
      <c r="I82" s="31"/>
      <c r="J82" s="87"/>
      <c r="K82" s="31"/>
      <c r="L82" s="159"/>
      <c r="N82" s="267">
        <f>I82/E81</f>
        <v>0</v>
      </c>
    </row>
    <row r="83" spans="1:14" s="90" customFormat="1" ht="16.5">
      <c r="A83" s="637"/>
      <c r="B83" s="493" t="s">
        <v>14</v>
      </c>
      <c r="C83" s="179" t="s">
        <v>11</v>
      </c>
      <c r="D83" s="478">
        <v>1.1599999999999999</v>
      </c>
      <c r="E83" s="180">
        <f>E81*D83</f>
        <v>8.1199999999999992</v>
      </c>
      <c r="F83" s="236"/>
      <c r="G83" s="31"/>
      <c r="H83" s="236"/>
      <c r="I83" s="31"/>
      <c r="J83" s="87"/>
      <c r="K83" s="31"/>
      <c r="L83" s="159"/>
    </row>
    <row r="84" spans="1:14" s="90" customFormat="1" ht="31.5">
      <c r="A84" s="637"/>
      <c r="B84" s="47" t="s">
        <v>282</v>
      </c>
      <c r="C84" s="163" t="s">
        <v>12</v>
      </c>
      <c r="D84" s="17"/>
      <c r="E84" s="15">
        <f>E14</f>
        <v>7</v>
      </c>
      <c r="F84" s="31"/>
      <c r="G84" s="31"/>
      <c r="H84" s="236"/>
      <c r="I84" s="31"/>
      <c r="J84" s="31"/>
      <c r="K84" s="31"/>
      <c r="L84" s="159"/>
    </row>
    <row r="85" spans="1:14" s="90" customFormat="1" ht="16.5">
      <c r="A85" s="638"/>
      <c r="B85" s="48" t="s">
        <v>18</v>
      </c>
      <c r="C85" s="290" t="s">
        <v>11</v>
      </c>
      <c r="D85" s="17">
        <v>0.05</v>
      </c>
      <c r="E85" s="70">
        <f>E81*D85</f>
        <v>0.35000000000000003</v>
      </c>
      <c r="F85" s="31"/>
      <c r="G85" s="31"/>
      <c r="H85" s="236"/>
      <c r="I85" s="31"/>
      <c r="J85" s="31"/>
      <c r="K85" s="31"/>
      <c r="L85" s="159"/>
    </row>
    <row r="86" spans="1:14" s="90" customFormat="1" ht="16.5">
      <c r="A86" s="636" t="s">
        <v>35</v>
      </c>
      <c r="B86" s="494" t="s">
        <v>208</v>
      </c>
      <c r="C86" s="290" t="s">
        <v>45</v>
      </c>
      <c r="D86" s="17"/>
      <c r="E86" s="15">
        <f>SUM(E88:E90)</f>
        <v>125</v>
      </c>
      <c r="F86" s="30"/>
      <c r="G86" s="28"/>
      <c r="H86" s="30"/>
      <c r="I86" s="31"/>
      <c r="J86" s="31"/>
      <c r="K86" s="31"/>
      <c r="L86" s="159"/>
    </row>
    <row r="87" spans="1:14" s="90" customFormat="1" ht="16.5">
      <c r="A87" s="637"/>
      <c r="B87" s="48" t="s">
        <v>22</v>
      </c>
      <c r="C87" s="290" t="s">
        <v>15</v>
      </c>
      <c r="D87" s="17">
        <v>0.13900000000000001</v>
      </c>
      <c r="E87" s="70">
        <f>E86*D87</f>
        <v>17.375</v>
      </c>
      <c r="F87" s="31"/>
      <c r="G87" s="28"/>
      <c r="H87" s="31"/>
      <c r="I87" s="31"/>
      <c r="J87" s="31"/>
      <c r="K87" s="31"/>
      <c r="L87" s="159"/>
      <c r="N87" s="267">
        <f>I87/E86</f>
        <v>0</v>
      </c>
    </row>
    <row r="88" spans="1:14" s="90" customFormat="1" ht="16.5">
      <c r="A88" s="637"/>
      <c r="B88" s="48" t="s">
        <v>280</v>
      </c>
      <c r="C88" s="179" t="s">
        <v>1</v>
      </c>
      <c r="D88" s="17"/>
      <c r="E88" s="70">
        <v>25</v>
      </c>
      <c r="F88" s="31"/>
      <c r="G88" s="31"/>
      <c r="H88" s="31"/>
      <c r="I88" s="31"/>
      <c r="J88" s="31"/>
      <c r="K88" s="31"/>
      <c r="L88" s="159"/>
      <c r="N88" s="267"/>
    </row>
    <row r="89" spans="1:14" s="90" customFormat="1" ht="16.5" hidden="1">
      <c r="A89" s="637"/>
      <c r="B89" s="48" t="s">
        <v>209</v>
      </c>
      <c r="C89" s="179" t="s">
        <v>1</v>
      </c>
      <c r="D89" s="17"/>
      <c r="E89" s="70"/>
      <c r="F89" s="31"/>
      <c r="G89" s="31"/>
      <c r="H89" s="236"/>
      <c r="I89" s="31"/>
      <c r="J89" s="31"/>
      <c r="K89" s="31"/>
      <c r="L89" s="159"/>
    </row>
    <row r="90" spans="1:14" s="90" customFormat="1" ht="16.5">
      <c r="A90" s="637"/>
      <c r="B90" s="48" t="s">
        <v>210</v>
      </c>
      <c r="C90" s="179" t="s">
        <v>1</v>
      </c>
      <c r="D90" s="17"/>
      <c r="E90" s="70">
        <v>100</v>
      </c>
      <c r="F90" s="31"/>
      <c r="G90" s="31"/>
      <c r="H90" s="236"/>
      <c r="I90" s="31"/>
      <c r="J90" s="31"/>
      <c r="K90" s="31"/>
      <c r="L90" s="159"/>
    </row>
    <row r="91" spans="1:14" s="90" customFormat="1" ht="16.5">
      <c r="A91" s="638"/>
      <c r="B91" s="48" t="s">
        <v>44</v>
      </c>
      <c r="C91" s="290" t="s">
        <v>11</v>
      </c>
      <c r="D91" s="17">
        <v>9.7000000000000003E-3</v>
      </c>
      <c r="E91" s="180">
        <f>E86*D91</f>
        <v>1.2125000000000001</v>
      </c>
      <c r="F91" s="31"/>
      <c r="G91" s="31"/>
      <c r="H91" s="236"/>
      <c r="I91" s="31"/>
      <c r="J91" s="31"/>
      <c r="K91" s="31"/>
      <c r="L91" s="159"/>
    </row>
    <row r="92" spans="1:14" s="90" customFormat="1" ht="16.5">
      <c r="A92" s="279"/>
      <c r="B92" s="48"/>
      <c r="C92" s="290"/>
      <c r="D92" s="17"/>
      <c r="E92" s="70"/>
      <c r="F92" s="31"/>
      <c r="G92" s="31"/>
      <c r="H92" s="236"/>
      <c r="I92" s="31"/>
      <c r="J92" s="31"/>
      <c r="K92" s="31"/>
      <c r="L92" s="159"/>
    </row>
    <row r="93" spans="1:14" s="90" customFormat="1" ht="16.5">
      <c r="A93" s="722"/>
      <c r="B93" s="673" t="s">
        <v>260</v>
      </c>
      <c r="C93" s="681"/>
      <c r="D93" s="741"/>
      <c r="E93" s="684"/>
      <c r="F93" s="711"/>
      <c r="G93" s="711"/>
      <c r="H93" s="711"/>
      <c r="I93" s="711"/>
      <c r="J93" s="711"/>
      <c r="K93" s="711"/>
      <c r="L93" s="726"/>
      <c r="M93" s="88">
        <f>G93+I93+K93</f>
        <v>0</v>
      </c>
    </row>
    <row r="94" spans="1:14" s="90" customFormat="1" ht="47.25">
      <c r="A94" s="722"/>
      <c r="B94" s="697" t="s">
        <v>69</v>
      </c>
      <c r="C94" s="727"/>
      <c r="D94" s="728"/>
      <c r="E94" s="661" t="s">
        <v>292</v>
      </c>
      <c r="F94" s="729"/>
      <c r="G94" s="729"/>
      <c r="H94" s="729"/>
      <c r="I94" s="729"/>
      <c r="J94" s="729"/>
      <c r="K94" s="729"/>
      <c r="L94" s="740"/>
    </row>
    <row r="95" spans="1:14" s="90" customFormat="1" ht="16.5" hidden="1">
      <c r="A95" s="722"/>
      <c r="B95" s="664" t="s">
        <v>28</v>
      </c>
      <c r="C95" s="727"/>
      <c r="D95" s="728"/>
      <c r="E95" s="730"/>
      <c r="F95" s="729"/>
      <c r="G95" s="729"/>
      <c r="H95" s="729"/>
      <c r="I95" s="729"/>
      <c r="J95" s="729"/>
      <c r="K95" s="729"/>
      <c r="L95" s="740"/>
    </row>
    <row r="96" spans="1:14" s="90" customFormat="1" ht="31.5">
      <c r="A96" s="722"/>
      <c r="B96" s="744" t="s">
        <v>66</v>
      </c>
      <c r="C96" s="681"/>
      <c r="D96" s="741"/>
      <c r="E96" s="684" t="s">
        <v>292</v>
      </c>
      <c r="F96" s="711"/>
      <c r="G96" s="711"/>
      <c r="H96" s="711"/>
      <c r="I96" s="711"/>
      <c r="J96" s="711"/>
      <c r="K96" s="711"/>
      <c r="L96" s="726"/>
    </row>
    <row r="97" spans="1:13" s="90" customFormat="1" ht="16.5">
      <c r="A97" s="722"/>
      <c r="B97" s="664" t="s">
        <v>28</v>
      </c>
      <c r="C97" s="681"/>
      <c r="D97" s="741"/>
      <c r="E97" s="684"/>
      <c r="F97" s="711"/>
      <c r="G97" s="711"/>
      <c r="H97" s="711"/>
      <c r="I97" s="711"/>
      <c r="J97" s="711"/>
      <c r="K97" s="711"/>
      <c r="L97" s="726"/>
    </row>
    <row r="98" spans="1:13" s="90" customFormat="1" ht="16.5">
      <c r="A98" s="722"/>
      <c r="B98" s="710" t="s">
        <v>25</v>
      </c>
      <c r="C98" s="681"/>
      <c r="D98" s="741"/>
      <c r="E98" s="684" t="s">
        <v>292</v>
      </c>
      <c r="F98" s="711"/>
      <c r="G98" s="711"/>
      <c r="H98" s="711"/>
      <c r="I98" s="711"/>
      <c r="J98" s="711"/>
      <c r="K98" s="711"/>
      <c r="L98" s="726"/>
    </row>
    <row r="99" spans="1:13" s="90" customFormat="1" ht="16.5">
      <c r="A99" s="722"/>
      <c r="B99" s="743" t="s">
        <v>263</v>
      </c>
      <c r="C99" s="681"/>
      <c r="D99" s="741"/>
      <c r="E99" s="684"/>
      <c r="F99" s="711"/>
      <c r="G99" s="711"/>
      <c r="H99" s="711"/>
      <c r="I99" s="711"/>
      <c r="J99" s="711"/>
      <c r="K99" s="711"/>
      <c r="L99" s="726"/>
    </row>
    <row r="100" spans="1:13" s="90" customFormat="1" ht="16.5">
      <c r="A100" s="573"/>
      <c r="L100" s="267"/>
    </row>
    <row r="101" spans="1:13" s="86" customFormat="1">
      <c r="A101" s="770"/>
      <c r="B101" s="771"/>
      <c r="C101" s="772"/>
      <c r="D101" s="773"/>
      <c r="E101" s="688"/>
      <c r="F101" s="774"/>
      <c r="G101" s="774"/>
      <c r="H101" s="774"/>
      <c r="I101" s="774"/>
      <c r="J101" s="774"/>
      <c r="K101" s="774"/>
      <c r="L101" s="775"/>
    </row>
    <row r="102" spans="1:13" s="86" customFormat="1">
      <c r="A102" s="776"/>
      <c r="B102" s="673" t="s">
        <v>211</v>
      </c>
      <c r="C102" s="674"/>
      <c r="D102" s="745"/>
      <c r="E102" s="675"/>
      <c r="F102" s="676"/>
      <c r="G102" s="676"/>
      <c r="H102" s="676"/>
      <c r="I102" s="676"/>
      <c r="J102" s="676"/>
      <c r="K102" s="676"/>
      <c r="L102" s="746">
        <f>L79+L99</f>
        <v>0</v>
      </c>
      <c r="M102" s="497"/>
    </row>
    <row r="103" spans="1:13" s="86" customFormat="1">
      <c r="A103" s="722"/>
      <c r="B103" s="680" t="s">
        <v>2</v>
      </c>
      <c r="C103" s="681"/>
      <c r="D103" s="742"/>
      <c r="E103" s="682">
        <v>0.05</v>
      </c>
      <c r="F103" s="683"/>
      <c r="G103" s="683"/>
      <c r="H103" s="683"/>
      <c r="I103" s="683"/>
      <c r="J103" s="683"/>
      <c r="K103" s="683"/>
      <c r="L103" s="739">
        <f>L102*E103</f>
        <v>0</v>
      </c>
    </row>
    <row r="104" spans="1:13" s="86" customFormat="1">
      <c r="A104" s="722"/>
      <c r="B104" s="664" t="s">
        <v>28</v>
      </c>
      <c r="C104" s="681"/>
      <c r="D104" s="742"/>
      <c r="E104" s="684"/>
      <c r="F104" s="683"/>
      <c r="G104" s="683"/>
      <c r="H104" s="683"/>
      <c r="I104" s="683"/>
      <c r="J104" s="683"/>
      <c r="K104" s="683"/>
      <c r="L104" s="739">
        <f>L102+L103</f>
        <v>0</v>
      </c>
    </row>
    <row r="105" spans="1:13" s="86" customFormat="1" hidden="1">
      <c r="A105" s="777"/>
      <c r="B105" s="685" t="s">
        <v>64</v>
      </c>
      <c r="C105" s="669"/>
      <c r="D105" s="754"/>
      <c r="E105" s="686">
        <v>0</v>
      </c>
      <c r="F105" s="671"/>
      <c r="G105" s="671"/>
      <c r="H105" s="671"/>
      <c r="I105" s="671"/>
      <c r="J105" s="671"/>
      <c r="K105" s="671"/>
      <c r="L105" s="755">
        <f>(I73+I93)*E105</f>
        <v>0</v>
      </c>
    </row>
    <row r="106" spans="1:13" s="86" customFormat="1" hidden="1">
      <c r="A106" s="777"/>
      <c r="B106" s="664" t="s">
        <v>28</v>
      </c>
      <c r="C106" s="669"/>
      <c r="D106" s="754"/>
      <c r="E106" s="670"/>
      <c r="F106" s="671"/>
      <c r="G106" s="671"/>
      <c r="H106" s="671"/>
      <c r="I106" s="671"/>
      <c r="J106" s="671"/>
      <c r="K106" s="671"/>
      <c r="L106" s="755">
        <f>L104+L105</f>
        <v>0</v>
      </c>
    </row>
    <row r="107" spans="1:13" s="86" customFormat="1">
      <c r="A107" s="777"/>
      <c r="B107" s="672" t="s">
        <v>3</v>
      </c>
      <c r="C107" s="669"/>
      <c r="D107" s="754"/>
      <c r="E107" s="757" t="s">
        <v>51</v>
      </c>
      <c r="F107" s="671"/>
      <c r="G107" s="671"/>
      <c r="H107" s="671"/>
      <c r="I107" s="671"/>
      <c r="J107" s="671"/>
      <c r="K107" s="671"/>
      <c r="L107" s="755">
        <f>L106*E107</f>
        <v>0</v>
      </c>
    </row>
    <row r="108" spans="1:13" s="86" customFormat="1">
      <c r="A108" s="776"/>
      <c r="B108" s="673" t="s">
        <v>213</v>
      </c>
      <c r="C108" s="674"/>
      <c r="D108" s="745"/>
      <c r="E108" s="675"/>
      <c r="F108" s="676"/>
      <c r="G108" s="676"/>
      <c r="H108" s="676"/>
      <c r="I108" s="676"/>
      <c r="J108" s="676"/>
      <c r="K108" s="676"/>
      <c r="L108" s="746">
        <f>L106+L107</f>
        <v>0</v>
      </c>
    </row>
    <row r="109" spans="1:13" s="90" customFormat="1" ht="17.25" thickBot="1">
      <c r="A109" s="778"/>
      <c r="B109" s="779"/>
      <c r="C109" s="780"/>
      <c r="D109" s="781"/>
      <c r="E109" s="782"/>
      <c r="F109" s="783"/>
      <c r="G109" s="783"/>
      <c r="H109" s="783"/>
      <c r="I109" s="783"/>
      <c r="J109" s="783"/>
      <c r="K109" s="783"/>
      <c r="L109" s="784"/>
    </row>
    <row r="110" spans="1:13" ht="16.5" thickBot="1">
      <c r="A110" s="689"/>
      <c r="B110" s="690" t="s">
        <v>73</v>
      </c>
      <c r="C110" s="691"/>
      <c r="D110" s="692"/>
      <c r="E110" s="692"/>
      <c r="F110" s="693"/>
      <c r="G110" s="694"/>
      <c r="H110" s="694"/>
      <c r="I110" s="694"/>
      <c r="J110" s="694"/>
      <c r="K110" s="694"/>
      <c r="L110" s="695">
        <f>L108</f>
        <v>0</v>
      </c>
    </row>
    <row r="111" spans="1:13" s="90" customFormat="1" ht="16.5">
      <c r="A111" s="575"/>
      <c r="B111" s="501"/>
      <c r="C111" s="500"/>
      <c r="D111" s="502"/>
      <c r="E111" s="503"/>
      <c r="F111" s="504"/>
      <c r="G111" s="504"/>
      <c r="H111" s="504"/>
      <c r="I111" s="504"/>
      <c r="J111" s="504"/>
      <c r="K111" s="504"/>
      <c r="L111" s="543"/>
    </row>
    <row r="112" spans="1:13" s="90" customFormat="1" ht="16.5">
      <c r="A112" s="574"/>
      <c r="B112" s="505"/>
      <c r="C112" s="506"/>
      <c r="D112" s="495"/>
      <c r="E112" s="496"/>
      <c r="F112" s="497"/>
      <c r="G112" s="497"/>
      <c r="H112" s="497"/>
      <c r="I112" s="497"/>
      <c r="J112" s="497"/>
      <c r="K112" s="497"/>
      <c r="L112" s="309"/>
    </row>
  </sheetData>
  <mergeCells count="30">
    <mergeCell ref="N7:N8"/>
    <mergeCell ref="A1:L1"/>
    <mergeCell ref="A2:L2"/>
    <mergeCell ref="A4:L4"/>
    <mergeCell ref="A7:A8"/>
    <mergeCell ref="B7:B8"/>
    <mergeCell ref="C7:C8"/>
    <mergeCell ref="F7:G7"/>
    <mergeCell ref="H7:I7"/>
    <mergeCell ref="J7:K7"/>
    <mergeCell ref="L7:L8"/>
    <mergeCell ref="D7:E7"/>
    <mergeCell ref="A6:C6"/>
    <mergeCell ref="G6:J6"/>
    <mergeCell ref="A17:A18"/>
    <mergeCell ref="A23:A25"/>
    <mergeCell ref="A26:A32"/>
    <mergeCell ref="A33:A35"/>
    <mergeCell ref="A19:A22"/>
    <mergeCell ref="A38:A41"/>
    <mergeCell ref="A44:A47"/>
    <mergeCell ref="A86:A91"/>
    <mergeCell ref="A66:A71"/>
    <mergeCell ref="A36:A37"/>
    <mergeCell ref="A42:A43"/>
    <mergeCell ref="A50:A51"/>
    <mergeCell ref="A52:A53"/>
    <mergeCell ref="A55:A59"/>
    <mergeCell ref="A60:A65"/>
    <mergeCell ref="A81:A85"/>
  </mergeCells>
  <conditionalFormatting sqref="F50:L50">
    <cfRule type="cellIs" dxfId="1" priority="2" stopIfTrue="1" operator="equal">
      <formula>8223.307275</formula>
    </cfRule>
  </conditionalFormatting>
  <conditionalFormatting sqref="B59:C59">
    <cfRule type="cellIs" dxfId="0" priority="1" stopIfTrue="1" operator="equal">
      <formula>8223.307275</formula>
    </cfRule>
  </conditionalFormatting>
  <pageMargins left="0.47244094488188981" right="0.15748031496062992" top="0.96" bottom="0.65" header="0.76" footer="0.28999999999999998"/>
  <pageSetup paperSize="9" scale="61" orientation="landscape" r:id="rId1"/>
  <headerFooter>
    <oddHeader>&amp;R&amp;P--&amp;N</oddHeader>
  </headerFooter>
  <rowBreaks count="1" manualBreakCount="1">
    <brk id="6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O88"/>
  <sheetViews>
    <sheetView view="pageBreakPreview" zoomScaleNormal="80" zoomScaleSheetLayoutView="100" workbookViewId="0">
      <selection activeCell="E89" sqref="E89"/>
    </sheetView>
  </sheetViews>
  <sheetFormatPr defaultColWidth="9.140625" defaultRowHeight="15"/>
  <cols>
    <col min="1" max="1" width="6.7109375" style="123" customWidth="1"/>
    <col min="2" max="2" width="50.7109375" style="123" customWidth="1"/>
    <col min="3" max="3" width="9.140625" style="123"/>
    <col min="4" max="4" width="9.28515625" style="123" customWidth="1"/>
    <col min="5" max="7" width="10.85546875" style="123" customWidth="1"/>
    <col min="8" max="8" width="8.140625" style="123" customWidth="1"/>
    <col min="9" max="9" width="10.85546875" style="123" customWidth="1"/>
    <col min="10" max="10" width="8.42578125" style="123" customWidth="1"/>
    <col min="11" max="11" width="10.42578125" style="123" customWidth="1"/>
    <col min="12" max="12" width="15.5703125" style="270" customWidth="1"/>
    <col min="13" max="13" width="21.5703125" style="123" customWidth="1"/>
    <col min="14" max="14" width="26.28515625" style="123" customWidth="1"/>
    <col min="15" max="16384" width="9.140625" style="123"/>
  </cols>
  <sheetData>
    <row r="1" spans="1:15" s="12" customFormat="1" ht="45" customHeight="1">
      <c r="A1" s="618" t="str">
        <f>tavfurceli!B8</f>
        <v>dmanisis municipalitetis sofel zemo orozmanSi skveris mowyobis samuSaoebi</v>
      </c>
      <c r="B1" s="618"/>
      <c r="C1" s="618"/>
      <c r="D1" s="618"/>
      <c r="E1" s="618"/>
      <c r="F1" s="618"/>
      <c r="G1" s="618"/>
      <c r="H1" s="618"/>
      <c r="I1" s="618"/>
      <c r="J1" s="618"/>
      <c r="K1" s="618"/>
      <c r="L1" s="618"/>
      <c r="M1" s="102" t="s">
        <v>78</v>
      </c>
      <c r="N1" s="170"/>
    </row>
    <row r="2" spans="1:15" s="12" customFormat="1" ht="15.75">
      <c r="A2" s="618" t="s">
        <v>104</v>
      </c>
      <c r="B2" s="618"/>
      <c r="C2" s="618"/>
      <c r="D2" s="618"/>
      <c r="E2" s="618"/>
      <c r="F2" s="618"/>
      <c r="G2" s="618"/>
      <c r="H2" s="618"/>
      <c r="I2" s="618"/>
      <c r="J2" s="618"/>
      <c r="K2" s="618"/>
      <c r="L2" s="618"/>
      <c r="N2" s="170"/>
    </row>
    <row r="3" spans="1:15" s="12" customFormat="1" ht="18.75" customHeight="1">
      <c r="A3" s="537"/>
      <c r="B3" s="537"/>
      <c r="C3" s="537"/>
      <c r="D3" s="537"/>
      <c r="E3" s="537"/>
      <c r="F3" s="537"/>
      <c r="G3" s="537"/>
      <c r="H3" s="537"/>
      <c r="I3" s="537"/>
      <c r="J3" s="537"/>
      <c r="K3" s="537"/>
      <c r="L3" s="215"/>
      <c r="N3" s="170"/>
    </row>
    <row r="4" spans="1:15" s="12" customFormat="1" ht="18.75" customHeight="1">
      <c r="A4" s="619" t="s">
        <v>264</v>
      </c>
      <c r="B4" s="619"/>
      <c r="C4" s="619"/>
      <c r="D4" s="619"/>
      <c r="E4" s="619"/>
      <c r="F4" s="619"/>
      <c r="G4" s="619"/>
      <c r="H4" s="619"/>
      <c r="I4" s="619"/>
      <c r="J4" s="619"/>
      <c r="K4" s="619"/>
      <c r="L4" s="619"/>
      <c r="N4" s="170"/>
    </row>
    <row r="5" spans="1:15" s="12" customFormat="1" ht="15.75">
      <c r="A5" s="204"/>
      <c r="B5" s="286"/>
      <c r="C5" s="286"/>
      <c r="D5" s="286"/>
      <c r="E5" s="286"/>
      <c r="F5" s="286"/>
      <c r="G5" s="286"/>
      <c r="H5" s="286"/>
      <c r="I5" s="286"/>
      <c r="J5" s="286"/>
      <c r="K5" s="286"/>
      <c r="L5" s="215"/>
      <c r="N5" s="170"/>
    </row>
    <row r="6" spans="1:15" s="12" customFormat="1" ht="21.75" customHeight="1">
      <c r="A6" s="642"/>
      <c r="B6" s="642"/>
      <c r="C6" s="642"/>
      <c r="D6" s="125"/>
      <c r="E6" s="126"/>
      <c r="F6" s="127"/>
      <c r="G6" s="644" t="s">
        <v>79</v>
      </c>
      <c r="H6" s="644"/>
      <c r="I6" s="644"/>
      <c r="J6" s="644"/>
      <c r="K6" s="128" t="s">
        <v>11</v>
      </c>
      <c r="L6" s="216">
        <f>L86</f>
        <v>0</v>
      </c>
      <c r="N6" s="172"/>
    </row>
    <row r="7" spans="1:15" s="86" customFormat="1" ht="52.5" customHeight="1">
      <c r="A7" s="629" t="s">
        <v>0</v>
      </c>
      <c r="B7" s="631" t="s">
        <v>86</v>
      </c>
      <c r="C7" s="631" t="s">
        <v>87</v>
      </c>
      <c r="D7" s="625" t="s">
        <v>88</v>
      </c>
      <c r="E7" s="626"/>
      <c r="F7" s="627" t="s">
        <v>47</v>
      </c>
      <c r="G7" s="628"/>
      <c r="H7" s="627" t="s">
        <v>65</v>
      </c>
      <c r="I7" s="628"/>
      <c r="J7" s="627" t="s">
        <v>17</v>
      </c>
      <c r="K7" s="628"/>
      <c r="L7" s="633" t="s">
        <v>55</v>
      </c>
      <c r="N7" s="623" t="s">
        <v>89</v>
      </c>
      <c r="O7" s="149"/>
    </row>
    <row r="8" spans="1:15" s="86" customFormat="1" ht="36" customHeight="1">
      <c r="A8" s="630"/>
      <c r="B8" s="632"/>
      <c r="C8" s="632"/>
      <c r="D8" s="150" t="s">
        <v>90</v>
      </c>
      <c r="E8" s="150" t="s">
        <v>10</v>
      </c>
      <c r="F8" s="151" t="s">
        <v>91</v>
      </c>
      <c r="G8" s="151" t="s">
        <v>92</v>
      </c>
      <c r="H8" s="151" t="s">
        <v>91</v>
      </c>
      <c r="I8" s="151" t="s">
        <v>92</v>
      </c>
      <c r="J8" s="151" t="s">
        <v>91</v>
      </c>
      <c r="K8" s="151" t="s">
        <v>92</v>
      </c>
      <c r="L8" s="634"/>
      <c r="N8" s="624"/>
      <c r="O8" s="149"/>
    </row>
    <row r="9" spans="1:15" s="86" customFormat="1" ht="16.5">
      <c r="A9" s="152">
        <v>1</v>
      </c>
      <c r="B9" s="154">
        <v>3</v>
      </c>
      <c r="C9" s="153">
        <v>4</v>
      </c>
      <c r="D9" s="155">
        <v>5</v>
      </c>
      <c r="E9" s="156">
        <v>6</v>
      </c>
      <c r="F9" s="155">
        <v>7</v>
      </c>
      <c r="G9" s="156">
        <v>8</v>
      </c>
      <c r="H9" s="155">
        <v>9</v>
      </c>
      <c r="I9" s="156">
        <v>10</v>
      </c>
      <c r="J9" s="155">
        <v>11</v>
      </c>
      <c r="K9" s="156">
        <v>12</v>
      </c>
      <c r="L9" s="155">
        <v>13</v>
      </c>
      <c r="M9" s="90"/>
      <c r="N9" s="156">
        <v>14</v>
      </c>
      <c r="O9" s="149"/>
    </row>
    <row r="11" spans="1:15" s="90" customFormat="1" ht="31.5">
      <c r="A11" s="219" t="s">
        <v>76</v>
      </c>
      <c r="B11" s="443" t="s">
        <v>264</v>
      </c>
      <c r="C11" s="219"/>
      <c r="D11" s="513"/>
      <c r="E11" s="79"/>
      <c r="F11" s="31"/>
      <c r="G11" s="31"/>
      <c r="H11" s="31"/>
      <c r="I11" s="31"/>
      <c r="J11" s="31"/>
      <c r="K11" s="31"/>
      <c r="L11" s="159"/>
      <c r="M11" s="514"/>
    </row>
    <row r="12" spans="1:15" s="325" customFormat="1" ht="15.75">
      <c r="A12" s="190"/>
      <c r="B12" s="82"/>
      <c r="C12" s="190"/>
      <c r="D12" s="550"/>
      <c r="E12" s="551"/>
      <c r="F12" s="31"/>
      <c r="G12" s="31"/>
      <c r="H12" s="31"/>
      <c r="I12" s="31"/>
      <c r="J12" s="56"/>
      <c r="K12" s="31"/>
      <c r="L12" s="159"/>
    </row>
    <row r="13" spans="1:15" customFormat="1" ht="47.25">
      <c r="A13" s="222" t="s">
        <v>99</v>
      </c>
      <c r="B13" s="223" t="s">
        <v>266</v>
      </c>
      <c r="C13" s="222"/>
      <c r="D13" s="515"/>
      <c r="E13" s="516"/>
      <c r="F13" s="31"/>
      <c r="G13" s="31"/>
      <c r="H13" s="31"/>
      <c r="I13" s="31"/>
      <c r="J13" s="31"/>
      <c r="K13" s="31"/>
      <c r="L13" s="159"/>
      <c r="M13" s="514"/>
      <c r="N13" s="90"/>
    </row>
    <row r="14" spans="1:15" customFormat="1" ht="16.5">
      <c r="A14" s="282" t="s">
        <v>56</v>
      </c>
      <c r="B14" s="390" t="s">
        <v>232</v>
      </c>
      <c r="C14" s="282" t="s">
        <v>1</v>
      </c>
      <c r="D14" s="517"/>
      <c r="E14" s="211">
        <f>E23</f>
        <v>30</v>
      </c>
      <c r="F14" s="31"/>
      <c r="G14" s="31"/>
      <c r="H14" s="31"/>
      <c r="I14" s="31"/>
      <c r="J14" s="31"/>
      <c r="K14" s="31"/>
      <c r="L14" s="159"/>
      <c r="M14" s="514"/>
      <c r="N14" s="90"/>
    </row>
    <row r="15" spans="1:15" s="174" customFormat="1" ht="15.75">
      <c r="A15" s="655" t="s">
        <v>58</v>
      </c>
      <c r="B15" s="72" t="s">
        <v>102</v>
      </c>
      <c r="C15" s="55" t="s">
        <v>6</v>
      </c>
      <c r="D15" s="518"/>
      <c r="E15" s="15">
        <f>0.6*0.7*E14</f>
        <v>12.6</v>
      </c>
      <c r="F15" s="56"/>
      <c r="G15" s="56"/>
      <c r="H15" s="56"/>
      <c r="I15" s="56"/>
      <c r="J15" s="56"/>
      <c r="K15" s="56"/>
      <c r="L15" s="168"/>
      <c r="M15" s="203"/>
    </row>
    <row r="16" spans="1:15" s="174" customFormat="1" ht="15.75">
      <c r="A16" s="656"/>
      <c r="B16" s="59" t="s">
        <v>114</v>
      </c>
      <c r="C16" s="255" t="s">
        <v>15</v>
      </c>
      <c r="D16" s="253">
        <v>1.21</v>
      </c>
      <c r="E16" s="70">
        <f>E15*D16</f>
        <v>15.245999999999999</v>
      </c>
      <c r="F16" s="56"/>
      <c r="G16" s="56"/>
      <c r="H16" s="56"/>
      <c r="I16" s="56"/>
      <c r="J16" s="56"/>
      <c r="K16" s="56"/>
      <c r="L16" s="168"/>
      <c r="M16" s="203"/>
    </row>
    <row r="17" spans="1:14" customFormat="1" ht="31.5">
      <c r="A17" s="651" t="s">
        <v>57</v>
      </c>
      <c r="B17" s="198" t="s">
        <v>233</v>
      </c>
      <c r="C17" s="163" t="s">
        <v>113</v>
      </c>
      <c r="D17" s="23"/>
      <c r="E17" s="15">
        <f>0.6*0.2*E14</f>
        <v>3.5999999999999996</v>
      </c>
      <c r="F17" s="263"/>
      <c r="G17" s="31"/>
      <c r="H17" s="56"/>
      <c r="I17" s="31"/>
      <c r="J17" s="56"/>
      <c r="K17" s="31"/>
      <c r="L17" s="159"/>
      <c r="N17" s="174"/>
    </row>
    <row r="18" spans="1:14" customFormat="1" ht="15.75">
      <c r="A18" s="652"/>
      <c r="B18" s="48" t="s">
        <v>46</v>
      </c>
      <c r="C18" s="290" t="s">
        <v>15</v>
      </c>
      <c r="D18" s="17">
        <f>18/10</f>
        <v>1.8</v>
      </c>
      <c r="E18" s="70">
        <f>D18*E17</f>
        <v>6.4799999999999995</v>
      </c>
      <c r="F18" s="31"/>
      <c r="G18" s="31"/>
      <c r="H18" s="31"/>
      <c r="I18" s="31"/>
      <c r="J18" s="31"/>
      <c r="K18" s="31"/>
      <c r="L18" s="159"/>
      <c r="N18">
        <f>I18/E17</f>
        <v>0</v>
      </c>
    </row>
    <row r="19" spans="1:14" customFormat="1" ht="15.75">
      <c r="A19" s="652"/>
      <c r="B19" s="48" t="s">
        <v>234</v>
      </c>
      <c r="C19" s="290" t="s">
        <v>50</v>
      </c>
      <c r="D19" s="17">
        <v>1.1000000000000001</v>
      </c>
      <c r="E19" s="70">
        <f>E17*D19</f>
        <v>3.96</v>
      </c>
      <c r="F19" s="31"/>
      <c r="G19" s="31"/>
      <c r="H19" s="295"/>
      <c r="I19" s="31"/>
      <c r="J19" s="31"/>
      <c r="K19" s="31"/>
      <c r="L19" s="159"/>
      <c r="N19" s="174"/>
    </row>
    <row r="20" spans="1:14" customFormat="1" ht="31.5">
      <c r="A20" s="654" t="s">
        <v>35</v>
      </c>
      <c r="B20" s="47" t="s">
        <v>235</v>
      </c>
      <c r="C20" s="163" t="s">
        <v>1</v>
      </c>
      <c r="D20" s="23"/>
      <c r="E20" s="15">
        <f>SUM(E23:E23)</f>
        <v>30</v>
      </c>
      <c r="F20" s="30"/>
      <c r="G20" s="31"/>
      <c r="H20" s="30"/>
      <c r="I20" s="31"/>
      <c r="J20" s="30"/>
      <c r="K20" s="31"/>
      <c r="L20" s="159"/>
    </row>
    <row r="21" spans="1:14" customFormat="1" ht="15.75">
      <c r="A21" s="654"/>
      <c r="B21" s="48" t="s">
        <v>236</v>
      </c>
      <c r="C21" s="290" t="s">
        <v>123</v>
      </c>
      <c r="D21" s="17">
        <v>9.5899999999999999E-2</v>
      </c>
      <c r="E21" s="70">
        <f>E20*D21</f>
        <v>2.8769999999999998</v>
      </c>
      <c r="F21" s="31"/>
      <c r="G21" s="31"/>
      <c r="H21" s="31"/>
      <c r="I21" s="31"/>
      <c r="J21" s="31"/>
      <c r="K21" s="31"/>
      <c r="L21" s="159"/>
      <c r="N21">
        <f>I21/E20</f>
        <v>0</v>
      </c>
    </row>
    <row r="22" spans="1:14" customFormat="1" ht="15.75">
      <c r="A22" s="654"/>
      <c r="B22" s="48" t="s">
        <v>20</v>
      </c>
      <c r="C22" s="290" t="s">
        <v>43</v>
      </c>
      <c r="D22" s="17">
        <v>4.5199999999999997E-2</v>
      </c>
      <c r="E22" s="70">
        <f>E20*D22</f>
        <v>1.3559999999999999</v>
      </c>
      <c r="F22" s="31"/>
      <c r="G22" s="31"/>
      <c r="H22" s="31"/>
      <c r="I22" s="31"/>
      <c r="J22" s="31"/>
      <c r="K22" s="31"/>
      <c r="L22" s="159"/>
    </row>
    <row r="23" spans="1:14" customFormat="1" ht="15.75">
      <c r="A23" s="654"/>
      <c r="B23" s="92" t="s">
        <v>237</v>
      </c>
      <c r="C23" s="290" t="s">
        <v>238</v>
      </c>
      <c r="D23" s="17"/>
      <c r="E23" s="35">
        <v>30</v>
      </c>
      <c r="F23" s="31"/>
      <c r="G23" s="31"/>
      <c r="H23" s="31"/>
      <c r="I23" s="31"/>
      <c r="J23" s="31"/>
      <c r="K23" s="31"/>
      <c r="L23" s="159"/>
    </row>
    <row r="24" spans="1:14" customFormat="1" ht="15.75">
      <c r="A24" s="654"/>
      <c r="B24" s="48" t="s">
        <v>44</v>
      </c>
      <c r="C24" s="290" t="s">
        <v>43</v>
      </c>
      <c r="D24" s="17">
        <v>5.9999999999999995E-4</v>
      </c>
      <c r="E24" s="70">
        <f>E20*D24</f>
        <v>1.7999999999999999E-2</v>
      </c>
      <c r="F24" s="31"/>
      <c r="G24" s="31"/>
      <c r="H24" s="31"/>
      <c r="I24" s="31"/>
      <c r="J24" s="31"/>
      <c r="K24" s="31"/>
      <c r="L24" s="159"/>
    </row>
    <row r="25" spans="1:14" customFormat="1" ht="15.75">
      <c r="A25" s="655" t="s">
        <v>58</v>
      </c>
      <c r="B25" s="72" t="s">
        <v>134</v>
      </c>
      <c r="C25" s="55" t="s">
        <v>6</v>
      </c>
      <c r="D25" s="518"/>
      <c r="E25" s="15">
        <f>0.6*(0.7-0.2)*E14</f>
        <v>8.9999999999999982</v>
      </c>
      <c r="F25" s="56"/>
      <c r="G25" s="56"/>
      <c r="H25" s="56"/>
      <c r="I25" s="56"/>
      <c r="J25" s="56"/>
      <c r="K25" s="56"/>
      <c r="L25" s="168"/>
    </row>
    <row r="26" spans="1:14" customFormat="1" ht="15.75">
      <c r="A26" s="656"/>
      <c r="B26" s="59" t="s">
        <v>114</v>
      </c>
      <c r="C26" s="255" t="s">
        <v>15</v>
      </c>
      <c r="D26" s="253">
        <v>1.21</v>
      </c>
      <c r="E26" s="70">
        <f>E25*D26</f>
        <v>10.889999999999997</v>
      </c>
      <c r="F26" s="56"/>
      <c r="G26" s="56"/>
      <c r="H26" s="56"/>
      <c r="I26" s="56"/>
      <c r="J26" s="56"/>
      <c r="K26" s="56"/>
      <c r="L26" s="168"/>
      <c r="N26">
        <f>I26/E25</f>
        <v>0</v>
      </c>
    </row>
    <row r="27" spans="1:14" customFormat="1" ht="31.5">
      <c r="A27" s="645" t="s">
        <v>23</v>
      </c>
      <c r="B27" s="83" t="s">
        <v>118</v>
      </c>
      <c r="C27" s="163" t="s">
        <v>9</v>
      </c>
      <c r="D27" s="95"/>
      <c r="E27" s="38">
        <f>(E15-E25)*1.95</f>
        <v>7.0200000000000022</v>
      </c>
      <c r="F27" s="44"/>
      <c r="G27" s="31"/>
      <c r="H27" s="44"/>
      <c r="I27" s="31"/>
      <c r="J27" s="44"/>
      <c r="K27" s="31"/>
      <c r="L27" s="159"/>
    </row>
    <row r="28" spans="1:14" customFormat="1" ht="15.75">
      <c r="A28" s="646"/>
      <c r="B28" s="84" t="s">
        <v>22</v>
      </c>
      <c r="C28" s="26" t="s">
        <v>15</v>
      </c>
      <c r="D28" s="95">
        <v>0.53</v>
      </c>
      <c r="E28" s="29">
        <f>E27*D28</f>
        <v>3.7206000000000015</v>
      </c>
      <c r="F28" s="44"/>
      <c r="G28" s="31"/>
      <c r="H28" s="44"/>
      <c r="I28" s="31"/>
      <c r="J28" s="44"/>
      <c r="K28" s="31"/>
      <c r="L28" s="159"/>
      <c r="N28">
        <f>I28/E27</f>
        <v>0</v>
      </c>
    </row>
    <row r="29" spans="1:14" customFormat="1" ht="31.5">
      <c r="A29" s="647"/>
      <c r="B29" s="248" t="s">
        <v>138</v>
      </c>
      <c r="C29" s="163" t="s">
        <v>9</v>
      </c>
      <c r="D29" s="257"/>
      <c r="E29" s="211">
        <f>E27</f>
        <v>7.0200000000000022</v>
      </c>
      <c r="F29" s="31"/>
      <c r="G29" s="31"/>
      <c r="H29" s="31"/>
      <c r="I29" s="31"/>
      <c r="J29" s="44"/>
      <c r="K29" s="31"/>
      <c r="L29" s="159"/>
    </row>
    <row r="30" spans="1:14" customFormat="1" ht="15.75">
      <c r="A30" s="657" t="s">
        <v>53</v>
      </c>
      <c r="B30" s="47" t="s">
        <v>239</v>
      </c>
      <c r="C30" s="163" t="s">
        <v>12</v>
      </c>
      <c r="D30" s="23"/>
      <c r="E30" s="15">
        <f>E33</f>
        <v>2</v>
      </c>
      <c r="F30" s="30"/>
      <c r="G30" s="28"/>
      <c r="H30" s="30"/>
      <c r="I30" s="28"/>
      <c r="J30" s="30"/>
      <c r="K30" s="28"/>
      <c r="L30" s="158"/>
    </row>
    <row r="31" spans="1:14" customFormat="1" ht="15.75">
      <c r="A31" s="657"/>
      <c r="B31" s="48" t="s">
        <v>236</v>
      </c>
      <c r="C31" s="290" t="s">
        <v>123</v>
      </c>
      <c r="D31" s="17">
        <v>1.51</v>
      </c>
      <c r="E31" s="70">
        <f>E30*D31</f>
        <v>3.02</v>
      </c>
      <c r="F31" s="31"/>
      <c r="G31" s="28"/>
      <c r="H31" s="31"/>
      <c r="I31" s="31"/>
      <c r="J31" s="31"/>
      <c r="K31" s="28"/>
      <c r="L31" s="159"/>
      <c r="N31">
        <f>I31/E30</f>
        <v>0</v>
      </c>
    </row>
    <row r="32" spans="1:14" customFormat="1" ht="15.75">
      <c r="A32" s="657"/>
      <c r="B32" s="48" t="s">
        <v>240</v>
      </c>
      <c r="C32" s="290" t="s">
        <v>43</v>
      </c>
      <c r="D32" s="17">
        <v>0.13</v>
      </c>
      <c r="E32" s="70">
        <f>E30*D32</f>
        <v>0.26</v>
      </c>
      <c r="F32" s="31"/>
      <c r="G32" s="28"/>
      <c r="H32" s="31"/>
      <c r="I32" s="28"/>
      <c r="J32" s="31"/>
      <c r="K32" s="31"/>
      <c r="L32" s="159"/>
    </row>
    <row r="33" spans="1:14" customFormat="1" ht="15.75">
      <c r="A33" s="657"/>
      <c r="B33" s="48" t="s">
        <v>241</v>
      </c>
      <c r="C33" s="290" t="s">
        <v>12</v>
      </c>
      <c r="D33" s="17"/>
      <c r="E33" s="35">
        <v>2</v>
      </c>
      <c r="F33" s="31"/>
      <c r="G33" s="31"/>
      <c r="H33" s="31"/>
      <c r="I33" s="28"/>
      <c r="J33" s="31"/>
      <c r="K33" s="28"/>
      <c r="L33" s="159"/>
    </row>
    <row r="34" spans="1:14" customFormat="1" ht="15.75">
      <c r="A34" s="657"/>
      <c r="B34" s="48" t="s">
        <v>44</v>
      </c>
      <c r="C34" s="290" t="s">
        <v>43</v>
      </c>
      <c r="D34" s="17">
        <v>7.0000000000000007E-2</v>
      </c>
      <c r="E34" s="70">
        <f>E30*D34</f>
        <v>0.14000000000000001</v>
      </c>
      <c r="F34" s="31"/>
      <c r="G34" s="31"/>
      <c r="H34" s="31"/>
      <c r="I34" s="28"/>
      <c r="J34" s="31"/>
      <c r="K34" s="28"/>
      <c r="L34" s="159"/>
    </row>
    <row r="35" spans="1:14" customFormat="1" ht="31.5" hidden="1">
      <c r="A35" s="284" t="s">
        <v>59</v>
      </c>
      <c r="B35" s="47" t="s">
        <v>242</v>
      </c>
      <c r="C35" s="163" t="s">
        <v>133</v>
      </c>
      <c r="D35" s="23"/>
      <c r="E35" s="15">
        <v>0</v>
      </c>
      <c r="F35" s="31"/>
      <c r="G35" s="31"/>
      <c r="H35" s="31"/>
      <c r="I35" s="31"/>
      <c r="J35" s="31"/>
      <c r="K35" s="31"/>
      <c r="L35" s="159"/>
    </row>
    <row r="36" spans="1:14" customFormat="1" ht="15.75">
      <c r="A36" s="648" t="s">
        <v>24</v>
      </c>
      <c r="B36" s="519" t="s">
        <v>243</v>
      </c>
      <c r="C36" s="520" t="s">
        <v>36</v>
      </c>
      <c r="D36" s="521"/>
      <c r="E36" s="522">
        <f>E39</f>
        <v>10</v>
      </c>
      <c r="F36" s="30"/>
      <c r="G36" s="28"/>
      <c r="H36" s="30"/>
      <c r="I36" s="28"/>
      <c r="J36" s="30"/>
      <c r="K36" s="28"/>
      <c r="L36" s="158"/>
    </row>
    <row r="37" spans="1:14" customFormat="1" ht="15.75">
      <c r="A37" s="649"/>
      <c r="B37" s="48" t="s">
        <v>13</v>
      </c>
      <c r="C37" s="290" t="s">
        <v>40</v>
      </c>
      <c r="D37" s="523">
        <f>(3.89+5.84+7.88)/3/10</f>
        <v>0.58699999999999997</v>
      </c>
      <c r="E37" s="70">
        <f>E36*D37</f>
        <v>5.8699999999999992</v>
      </c>
      <c r="F37" s="31"/>
      <c r="G37" s="28"/>
      <c r="H37" s="31"/>
      <c r="I37" s="28"/>
      <c r="J37" s="31"/>
      <c r="K37" s="28"/>
      <c r="L37" s="158"/>
    </row>
    <row r="38" spans="1:14" customFormat="1" ht="15.75">
      <c r="A38" s="649"/>
      <c r="B38" s="48" t="s">
        <v>244</v>
      </c>
      <c r="C38" s="290" t="s">
        <v>11</v>
      </c>
      <c r="D38" s="523">
        <f>(1.51+2.27+3.02)/3/10</f>
        <v>0.22666666666666671</v>
      </c>
      <c r="E38" s="70">
        <f>E36*D38</f>
        <v>2.2666666666666671</v>
      </c>
      <c r="F38" s="31"/>
      <c r="G38" s="28"/>
      <c r="H38" s="31"/>
      <c r="I38" s="28"/>
      <c r="J38" s="31"/>
      <c r="K38" s="28"/>
      <c r="L38" s="158"/>
    </row>
    <row r="39" spans="1:14" customFormat="1" ht="15.75">
      <c r="A39" s="649"/>
      <c r="B39" s="48" t="s">
        <v>243</v>
      </c>
      <c r="C39" s="290" t="s">
        <v>4</v>
      </c>
      <c r="D39" s="523"/>
      <c r="E39" s="35">
        <v>10</v>
      </c>
      <c r="F39" s="31"/>
      <c r="G39" s="28"/>
      <c r="H39" s="31"/>
      <c r="I39" s="28"/>
      <c r="J39" s="31"/>
      <c r="K39" s="28"/>
      <c r="L39" s="158"/>
    </row>
    <row r="40" spans="1:14" customFormat="1" ht="15.75">
      <c r="A40" s="650"/>
      <c r="B40" s="48" t="s">
        <v>18</v>
      </c>
      <c r="C40" s="290" t="s">
        <v>11</v>
      </c>
      <c r="D40" s="17">
        <f>(0.24+0.24+0.24)/3/10</f>
        <v>2.4E-2</v>
      </c>
      <c r="E40" s="70">
        <f>E36*D40</f>
        <v>0.24</v>
      </c>
      <c r="F40" s="31"/>
      <c r="G40" s="28"/>
      <c r="H40" s="31"/>
      <c r="I40" s="28"/>
      <c r="J40" s="31"/>
      <c r="K40" s="28"/>
      <c r="L40" s="158"/>
    </row>
    <row r="41" spans="1:14" ht="31.5">
      <c r="A41" s="651" t="s">
        <v>61</v>
      </c>
      <c r="B41" s="47" t="s">
        <v>245</v>
      </c>
      <c r="C41" s="65" t="s">
        <v>36</v>
      </c>
      <c r="D41" s="473"/>
      <c r="E41" s="15">
        <v>1</v>
      </c>
      <c r="F41" s="263"/>
      <c r="G41" s="31"/>
      <c r="H41" s="56"/>
      <c r="I41" s="31"/>
      <c r="J41" s="56"/>
      <c r="K41" s="31"/>
      <c r="L41" s="159"/>
    </row>
    <row r="42" spans="1:14" ht="15.75">
      <c r="A42" s="652"/>
      <c r="B42" s="48" t="s">
        <v>13</v>
      </c>
      <c r="C42" s="290" t="s">
        <v>15</v>
      </c>
      <c r="D42" s="17">
        <v>3.15</v>
      </c>
      <c r="E42" s="70">
        <f>E41*D42</f>
        <v>3.15</v>
      </c>
      <c r="F42" s="56"/>
      <c r="G42" s="31"/>
      <c r="H42" s="56"/>
      <c r="I42" s="31"/>
      <c r="J42" s="56"/>
      <c r="K42" s="31"/>
      <c r="L42" s="159"/>
      <c r="N42">
        <f>I42/E41</f>
        <v>0</v>
      </c>
    </row>
    <row r="43" spans="1:14" ht="15.75">
      <c r="A43" s="652"/>
      <c r="B43" s="199" t="s">
        <v>14</v>
      </c>
      <c r="C43" s="58" t="s">
        <v>11</v>
      </c>
      <c r="D43" s="246">
        <v>0.84</v>
      </c>
      <c r="E43" s="40">
        <f>E41*D43</f>
        <v>0.84</v>
      </c>
      <c r="F43" s="56"/>
      <c r="G43" s="31"/>
      <c r="H43" s="56"/>
      <c r="I43" s="31"/>
      <c r="J43" s="56"/>
      <c r="K43" s="31"/>
      <c r="L43" s="159"/>
    </row>
    <row r="44" spans="1:14" ht="15.75">
      <c r="A44" s="652"/>
      <c r="B44" s="199" t="s">
        <v>246</v>
      </c>
      <c r="C44" s="58" t="s">
        <v>167</v>
      </c>
      <c r="D44" s="246">
        <v>5</v>
      </c>
      <c r="E44" s="260">
        <f>D44*E41</f>
        <v>5</v>
      </c>
      <c r="F44" s="56"/>
      <c r="G44" s="31"/>
      <c r="H44" s="56"/>
      <c r="I44" s="31"/>
      <c r="J44" s="56"/>
      <c r="K44" s="31"/>
      <c r="L44" s="159"/>
    </row>
    <row r="45" spans="1:14" ht="15.75">
      <c r="A45" s="653"/>
      <c r="B45" s="199" t="s">
        <v>21</v>
      </c>
      <c r="C45" s="58" t="s">
        <v>11</v>
      </c>
      <c r="D45" s="246">
        <v>0.47</v>
      </c>
      <c r="E45" s="40">
        <f>E41*D45</f>
        <v>0.47</v>
      </c>
      <c r="F45" s="56"/>
      <c r="G45" s="31"/>
      <c r="H45" s="56"/>
      <c r="I45" s="31"/>
      <c r="J45" s="56"/>
      <c r="K45" s="31"/>
      <c r="L45" s="159"/>
    </row>
    <row r="46" spans="1:14" ht="15.75">
      <c r="A46" s="290"/>
      <c r="B46" s="48"/>
      <c r="C46" s="290"/>
      <c r="D46" s="17"/>
      <c r="E46" s="70"/>
      <c r="F46" s="31"/>
      <c r="G46" s="31"/>
      <c r="H46" s="31"/>
      <c r="I46" s="31"/>
      <c r="J46" s="56"/>
      <c r="K46" s="31"/>
      <c r="L46" s="159"/>
    </row>
    <row r="47" spans="1:14" customFormat="1" ht="31.5">
      <c r="A47" s="63">
        <v>1</v>
      </c>
      <c r="B47" s="524" t="s">
        <v>247</v>
      </c>
      <c r="C47" s="63" t="s">
        <v>1</v>
      </c>
      <c r="D47" s="525"/>
      <c r="E47" s="64">
        <f>E56</f>
        <v>30</v>
      </c>
      <c r="F47" s="526"/>
      <c r="G47" s="31"/>
      <c r="H47" s="56"/>
      <c r="I47" s="31"/>
      <c r="J47" s="56"/>
      <c r="K47" s="31"/>
      <c r="L47" s="159"/>
    </row>
    <row r="48" spans="1:14" customFormat="1" ht="31.5">
      <c r="A48" s="651" t="s">
        <v>57</v>
      </c>
      <c r="B48" s="189" t="s">
        <v>248</v>
      </c>
      <c r="C48" s="65" t="s">
        <v>113</v>
      </c>
      <c r="D48" s="527"/>
      <c r="E48" s="15">
        <f>E47*0.7*1</f>
        <v>21</v>
      </c>
      <c r="F48" s="526"/>
      <c r="G48" s="31"/>
      <c r="H48" s="526"/>
      <c r="I48" s="31"/>
      <c r="J48" s="526"/>
      <c r="K48" s="31"/>
      <c r="L48" s="159"/>
    </row>
    <row r="49" spans="1:12" customFormat="1" ht="15.75">
      <c r="A49" s="653"/>
      <c r="B49" s="199" t="s">
        <v>13</v>
      </c>
      <c r="C49" s="58" t="s">
        <v>50</v>
      </c>
      <c r="D49" s="247">
        <v>2.06</v>
      </c>
      <c r="E49" s="260">
        <f>D49*E48</f>
        <v>43.26</v>
      </c>
      <c r="F49" s="261"/>
      <c r="G49" s="31"/>
      <c r="H49" s="261"/>
      <c r="I49" s="31"/>
      <c r="J49" s="56"/>
      <c r="K49" s="31"/>
      <c r="L49" s="159"/>
    </row>
    <row r="50" spans="1:12" customFormat="1" ht="31.5">
      <c r="A50" s="654" t="s">
        <v>35</v>
      </c>
      <c r="B50" s="198" t="s">
        <v>249</v>
      </c>
      <c r="C50" s="163" t="s">
        <v>113</v>
      </c>
      <c r="D50" s="23"/>
      <c r="E50" s="15">
        <f>0.7*0.3*E47-3.14*0.05*0.05*E47</f>
        <v>6.0644999999999998</v>
      </c>
      <c r="F50" s="261"/>
      <c r="G50" s="31"/>
      <c r="H50" s="261"/>
      <c r="I50" s="31"/>
      <c r="J50" s="56"/>
      <c r="K50" s="31"/>
      <c r="L50" s="159"/>
    </row>
    <row r="51" spans="1:12" customFormat="1" ht="15.75">
      <c r="A51" s="654"/>
      <c r="B51" s="48" t="s">
        <v>46</v>
      </c>
      <c r="C51" s="290" t="s">
        <v>15</v>
      </c>
      <c r="D51" s="17">
        <f>18/10</f>
        <v>1.8</v>
      </c>
      <c r="E51" s="70">
        <f>D51*E50</f>
        <v>10.9161</v>
      </c>
      <c r="F51" s="261"/>
      <c r="G51" s="31"/>
      <c r="H51" s="261"/>
      <c r="I51" s="31"/>
      <c r="J51" s="56"/>
      <c r="K51" s="31"/>
      <c r="L51" s="159"/>
    </row>
    <row r="52" spans="1:12" customFormat="1" ht="15.75">
      <c r="A52" s="654"/>
      <c r="B52" s="48" t="s">
        <v>234</v>
      </c>
      <c r="C52" s="290" t="s">
        <v>50</v>
      </c>
      <c r="D52" s="17">
        <v>1.1499999999999999</v>
      </c>
      <c r="E52" s="70">
        <f>E50*D52</f>
        <v>6.9741749999999989</v>
      </c>
      <c r="F52" s="261"/>
      <c r="G52" s="31"/>
      <c r="H52" s="261"/>
      <c r="I52" s="31"/>
      <c r="J52" s="56"/>
      <c r="K52" s="31"/>
      <c r="L52" s="159"/>
    </row>
    <row r="53" spans="1:12" customFormat="1" ht="31.5">
      <c r="A53" s="651" t="s">
        <v>58</v>
      </c>
      <c r="B53" s="198" t="s">
        <v>250</v>
      </c>
      <c r="C53" s="65" t="s">
        <v>1</v>
      </c>
      <c r="D53" s="473"/>
      <c r="E53" s="15">
        <f>E56</f>
        <v>30</v>
      </c>
      <c r="F53" s="263"/>
      <c r="G53" s="31"/>
      <c r="H53" s="56"/>
      <c r="I53" s="31"/>
      <c r="J53" s="56"/>
      <c r="K53" s="31"/>
      <c r="L53" s="159"/>
    </row>
    <row r="54" spans="1:12" customFormat="1" ht="15.75">
      <c r="A54" s="652"/>
      <c r="B54" s="48" t="s">
        <v>13</v>
      </c>
      <c r="C54" s="290" t="s">
        <v>15</v>
      </c>
      <c r="D54" s="246">
        <f>95.9*0.001</f>
        <v>9.5900000000000013E-2</v>
      </c>
      <c r="E54" s="40">
        <f>E53*D54</f>
        <v>2.8770000000000002</v>
      </c>
      <c r="F54" s="56"/>
      <c r="G54" s="31"/>
      <c r="H54" s="56"/>
      <c r="I54" s="31"/>
      <c r="J54" s="56"/>
      <c r="K54" s="31"/>
      <c r="L54" s="159"/>
    </row>
    <row r="55" spans="1:12" customFormat="1" ht="15.75">
      <c r="A55" s="652"/>
      <c r="B55" s="199" t="s">
        <v>14</v>
      </c>
      <c r="C55" s="58" t="s">
        <v>11</v>
      </c>
      <c r="D55" s="246">
        <f>45.2/1000</f>
        <v>4.5200000000000004E-2</v>
      </c>
      <c r="E55" s="40">
        <f>E53*D55</f>
        <v>1.3560000000000001</v>
      </c>
      <c r="F55" s="528"/>
      <c r="G55" s="31"/>
      <c r="H55" s="528"/>
      <c r="I55" s="31"/>
      <c r="J55" s="528"/>
      <c r="K55" s="31"/>
      <c r="L55" s="159"/>
    </row>
    <row r="56" spans="1:12" customFormat="1" ht="15.75">
      <c r="A56" s="652"/>
      <c r="B56" s="199" t="s">
        <v>251</v>
      </c>
      <c r="C56" s="58" t="str">
        <f>C53</f>
        <v>g/m</v>
      </c>
      <c r="D56" s="246">
        <v>1</v>
      </c>
      <c r="E56" s="529">
        <v>30</v>
      </c>
      <c r="F56" s="56"/>
      <c r="G56" s="31"/>
      <c r="H56" s="56"/>
      <c r="I56" s="31"/>
      <c r="J56" s="56"/>
      <c r="K56" s="31"/>
      <c r="L56" s="159"/>
    </row>
    <row r="57" spans="1:12" customFormat="1" ht="15.75">
      <c r="A57" s="652"/>
      <c r="B57" s="49" t="s">
        <v>269</v>
      </c>
      <c r="C57" s="25" t="s">
        <v>4</v>
      </c>
      <c r="D57" s="246"/>
      <c r="E57" s="529">
        <v>5</v>
      </c>
      <c r="F57" s="56"/>
      <c r="G57" s="31"/>
      <c r="H57" s="56"/>
      <c r="I57" s="31"/>
      <c r="J57" s="56"/>
      <c r="K57" s="31"/>
      <c r="L57" s="159"/>
    </row>
    <row r="58" spans="1:12" customFormat="1" ht="15.75">
      <c r="A58" s="653"/>
      <c r="B58" s="199" t="s">
        <v>21</v>
      </c>
      <c r="C58" s="58" t="s">
        <v>11</v>
      </c>
      <c r="D58" s="246">
        <f>0.6*0.001</f>
        <v>5.9999999999999995E-4</v>
      </c>
      <c r="E58" s="40">
        <f>E53*D58</f>
        <v>1.7999999999999999E-2</v>
      </c>
      <c r="F58" s="56"/>
      <c r="G58" s="31"/>
      <c r="H58" s="56"/>
      <c r="I58" s="31"/>
      <c r="J58" s="56"/>
      <c r="K58" s="31"/>
      <c r="L58" s="159"/>
    </row>
    <row r="59" spans="1:12" customFormat="1" ht="15.75">
      <c r="A59" s="655" t="s">
        <v>53</v>
      </c>
      <c r="B59" s="72" t="s">
        <v>134</v>
      </c>
      <c r="C59" s="55" t="s">
        <v>6</v>
      </c>
      <c r="D59" s="253"/>
      <c r="E59" s="15">
        <f>E47*0.7*(1-0.3)</f>
        <v>14.7</v>
      </c>
      <c r="F59" s="56"/>
      <c r="G59" s="56"/>
      <c r="H59" s="56"/>
      <c r="I59" s="56"/>
      <c r="J59" s="56"/>
      <c r="K59" s="56"/>
      <c r="L59" s="168"/>
    </row>
    <row r="60" spans="1:12" customFormat="1" ht="15.75">
      <c r="A60" s="656"/>
      <c r="B60" s="59" t="s">
        <v>114</v>
      </c>
      <c r="C60" s="255" t="s">
        <v>15</v>
      </c>
      <c r="D60" s="253">
        <v>1.21</v>
      </c>
      <c r="E60" s="70">
        <f>E59*D60</f>
        <v>17.786999999999999</v>
      </c>
      <c r="F60" s="56"/>
      <c r="G60" s="56"/>
      <c r="H60" s="56"/>
      <c r="I60" s="56"/>
      <c r="J60" s="56"/>
      <c r="K60" s="56"/>
      <c r="L60" s="168"/>
    </row>
    <row r="61" spans="1:12" customFormat="1" ht="31.5">
      <c r="A61" s="645" t="s">
        <v>31</v>
      </c>
      <c r="B61" s="83" t="s">
        <v>118</v>
      </c>
      <c r="C61" s="163" t="s">
        <v>9</v>
      </c>
      <c r="D61" s="530"/>
      <c r="E61" s="38">
        <f>(E48-E59)*1.95</f>
        <v>12.285000000000002</v>
      </c>
      <c r="F61" s="44"/>
      <c r="G61" s="31"/>
      <c r="H61" s="44"/>
      <c r="I61" s="31"/>
      <c r="J61" s="44"/>
      <c r="K61" s="31"/>
      <c r="L61" s="159"/>
    </row>
    <row r="62" spans="1:12" customFormat="1" ht="15.75">
      <c r="A62" s="646"/>
      <c r="B62" s="84" t="s">
        <v>22</v>
      </c>
      <c r="C62" s="26" t="s">
        <v>15</v>
      </c>
      <c r="D62" s="95">
        <v>0.53</v>
      </c>
      <c r="E62" s="29">
        <f>E61*D62</f>
        <v>6.5110500000000018</v>
      </c>
      <c r="F62" s="44"/>
      <c r="G62" s="31"/>
      <c r="H62" s="44"/>
      <c r="I62" s="31"/>
      <c r="J62" s="44"/>
      <c r="K62" s="31"/>
      <c r="L62" s="159"/>
    </row>
    <row r="63" spans="1:12" customFormat="1" ht="31.5">
      <c r="A63" s="647"/>
      <c r="B63" s="248" t="s">
        <v>138</v>
      </c>
      <c r="C63" s="163" t="s">
        <v>9</v>
      </c>
      <c r="D63" s="257"/>
      <c r="E63" s="211">
        <f>E61</f>
        <v>12.285000000000002</v>
      </c>
      <c r="F63" s="31"/>
      <c r="G63" s="31"/>
      <c r="H63" s="31"/>
      <c r="I63" s="31"/>
      <c r="J63" s="44"/>
      <c r="K63" s="31"/>
      <c r="L63" s="159"/>
    </row>
    <row r="64" spans="1:12" customFormat="1" ht="31.5">
      <c r="A64" s="290"/>
      <c r="B64" s="117" t="s">
        <v>252</v>
      </c>
      <c r="C64" s="116" t="s">
        <v>253</v>
      </c>
      <c r="D64" s="531"/>
      <c r="E64" s="15">
        <v>1</v>
      </c>
      <c r="F64" s="532"/>
      <c r="G64" s="31"/>
      <c r="H64" s="532"/>
      <c r="I64" s="31"/>
      <c r="J64" s="532"/>
      <c r="K64" s="31"/>
      <c r="L64" s="159"/>
    </row>
    <row r="65" spans="1:13" customFormat="1" ht="15.75">
      <c r="A65" s="290"/>
      <c r="B65" s="48" t="s">
        <v>46</v>
      </c>
      <c r="C65" s="290" t="s">
        <v>15</v>
      </c>
      <c r="D65" s="17">
        <v>17</v>
      </c>
      <c r="E65" s="70">
        <f>E64*D65</f>
        <v>17</v>
      </c>
      <c r="F65" s="31"/>
      <c r="G65" s="31"/>
      <c r="H65" s="31"/>
      <c r="I65" s="31"/>
      <c r="J65" s="31"/>
      <c r="K65" s="31"/>
      <c r="L65" s="159"/>
    </row>
    <row r="66" spans="1:13" customFormat="1" ht="15.75">
      <c r="A66" s="290"/>
      <c r="B66" s="48" t="s">
        <v>254</v>
      </c>
      <c r="C66" s="290" t="s">
        <v>37</v>
      </c>
      <c r="D66" s="17">
        <v>0.05</v>
      </c>
      <c r="E66" s="70">
        <f>E64*D66</f>
        <v>0.05</v>
      </c>
      <c r="F66" s="56"/>
      <c r="G66" s="31"/>
      <c r="H66" s="56"/>
      <c r="I66" s="31"/>
      <c r="J66" s="56"/>
      <c r="K66" s="31"/>
      <c r="L66" s="159"/>
    </row>
    <row r="67" spans="1:13" customFormat="1" ht="15.75">
      <c r="A67" s="290"/>
      <c r="B67" s="48" t="s">
        <v>103</v>
      </c>
      <c r="C67" s="290" t="s">
        <v>50</v>
      </c>
      <c r="D67" s="17">
        <v>0.2</v>
      </c>
      <c r="E67" s="70">
        <f>E64*D67</f>
        <v>0.2</v>
      </c>
      <c r="F67" s="56"/>
      <c r="G67" s="31"/>
      <c r="H67" s="56"/>
      <c r="I67" s="31"/>
      <c r="J67" s="56"/>
      <c r="K67" s="31"/>
      <c r="L67" s="159"/>
    </row>
    <row r="68" spans="1:13" customFormat="1" ht="15.75">
      <c r="A68" s="290"/>
      <c r="B68" s="48" t="s">
        <v>255</v>
      </c>
      <c r="C68" s="290" t="s">
        <v>8</v>
      </c>
      <c r="D68" s="17">
        <v>7.8</v>
      </c>
      <c r="E68" s="70">
        <f>E64*D68</f>
        <v>7.8</v>
      </c>
      <c r="F68" s="31"/>
      <c r="G68" s="31"/>
      <c r="H68" s="31"/>
      <c r="I68" s="31"/>
      <c r="J68" s="56"/>
      <c r="K68" s="31"/>
      <c r="L68" s="159"/>
    </row>
    <row r="69" spans="1:13" customFormat="1" ht="15.75">
      <c r="A69" s="290"/>
      <c r="B69" s="48" t="s">
        <v>18</v>
      </c>
      <c r="C69" s="290" t="s">
        <v>11</v>
      </c>
      <c r="D69" s="17">
        <v>1.08</v>
      </c>
      <c r="E69" s="70">
        <f>E64*D69</f>
        <v>1.08</v>
      </c>
      <c r="F69" s="31"/>
      <c r="G69" s="31"/>
      <c r="H69" s="31"/>
      <c r="I69" s="31"/>
      <c r="J69" s="56"/>
      <c r="K69" s="31"/>
      <c r="L69" s="159"/>
    </row>
    <row r="70" spans="1:13" customFormat="1" ht="15.75">
      <c r="A70" s="290"/>
      <c r="B70" s="48"/>
      <c r="C70" s="290"/>
      <c r="D70" s="17"/>
      <c r="E70" s="70"/>
      <c r="F70" s="31"/>
      <c r="G70" s="31"/>
      <c r="H70" s="31"/>
      <c r="I70" s="31"/>
      <c r="J70" s="56"/>
      <c r="K70" s="31"/>
      <c r="L70" s="159"/>
    </row>
    <row r="71" spans="1:13" ht="15.75">
      <c r="A71" s="290"/>
      <c r="B71" s="48"/>
      <c r="C71" s="290"/>
      <c r="D71" s="17"/>
      <c r="E71" s="70"/>
      <c r="F71" s="31"/>
      <c r="G71" s="31"/>
      <c r="H71" s="31"/>
      <c r="I71" s="31"/>
      <c r="J71" s="56"/>
      <c r="K71" s="31"/>
      <c r="L71" s="159"/>
    </row>
    <row r="72" spans="1:13" ht="15.75">
      <c r="A72" s="674"/>
      <c r="B72" s="673" t="s">
        <v>256</v>
      </c>
      <c r="C72" s="674"/>
      <c r="D72" s="745"/>
      <c r="E72" s="675"/>
      <c r="F72" s="676"/>
      <c r="G72" s="676"/>
      <c r="H72" s="676"/>
      <c r="I72" s="676"/>
      <c r="J72" s="676"/>
      <c r="K72" s="676"/>
      <c r="L72" s="746"/>
      <c r="M72" s="533">
        <f>G72+I72+K72</f>
        <v>0</v>
      </c>
    </row>
    <row r="73" spans="1:13" ht="47.25">
      <c r="A73" s="747"/>
      <c r="B73" s="658" t="s">
        <v>69</v>
      </c>
      <c r="C73" s="659"/>
      <c r="D73" s="748"/>
      <c r="E73" s="661" t="s">
        <v>292</v>
      </c>
      <c r="F73" s="662"/>
      <c r="G73" s="662"/>
      <c r="H73" s="662"/>
      <c r="I73" s="662"/>
      <c r="J73" s="662"/>
      <c r="K73" s="662"/>
      <c r="L73" s="749"/>
    </row>
    <row r="74" spans="1:13" ht="15.75">
      <c r="A74" s="747"/>
      <c r="B74" s="664" t="s">
        <v>28</v>
      </c>
      <c r="C74" s="659"/>
      <c r="D74" s="748"/>
      <c r="E74" s="660"/>
      <c r="F74" s="662"/>
      <c r="G74" s="662"/>
      <c r="H74" s="662"/>
      <c r="I74" s="662"/>
      <c r="J74" s="662"/>
      <c r="K74" s="662"/>
      <c r="L74" s="749"/>
    </row>
    <row r="75" spans="1:13" ht="15.75">
      <c r="A75" s="750"/>
      <c r="B75" s="665" t="s">
        <v>30</v>
      </c>
      <c r="C75" s="666"/>
      <c r="D75" s="751"/>
      <c r="E75" s="667" t="s">
        <v>292</v>
      </c>
      <c r="F75" s="668"/>
      <c r="G75" s="668"/>
      <c r="H75" s="668"/>
      <c r="I75" s="668"/>
      <c r="J75" s="668"/>
      <c r="K75" s="668"/>
      <c r="L75" s="752"/>
    </row>
    <row r="76" spans="1:13" ht="15.75">
      <c r="A76" s="753"/>
      <c r="B76" s="664" t="s">
        <v>28</v>
      </c>
      <c r="C76" s="669"/>
      <c r="D76" s="754"/>
      <c r="E76" s="670"/>
      <c r="F76" s="671"/>
      <c r="G76" s="671"/>
      <c r="H76" s="671"/>
      <c r="I76" s="671"/>
      <c r="J76" s="671"/>
      <c r="K76" s="671"/>
      <c r="L76" s="755"/>
    </row>
    <row r="77" spans="1:13" ht="15.75">
      <c r="A77" s="753"/>
      <c r="B77" s="672" t="s">
        <v>25</v>
      </c>
      <c r="C77" s="669"/>
      <c r="D77" s="754"/>
      <c r="E77" s="670" t="s">
        <v>292</v>
      </c>
      <c r="F77" s="671"/>
      <c r="G77" s="671"/>
      <c r="H77" s="671"/>
      <c r="I77" s="671"/>
      <c r="J77" s="671"/>
      <c r="K77" s="671"/>
      <c r="L77" s="755"/>
    </row>
    <row r="78" spans="1:13" ht="15.75">
      <c r="A78" s="753"/>
      <c r="B78" s="664" t="s">
        <v>28</v>
      </c>
      <c r="C78" s="669"/>
      <c r="D78" s="754"/>
      <c r="E78" s="670"/>
      <c r="F78" s="671"/>
      <c r="G78" s="671"/>
      <c r="H78" s="671"/>
      <c r="I78" s="671"/>
      <c r="J78" s="671"/>
      <c r="K78" s="671"/>
      <c r="L78" s="756"/>
    </row>
    <row r="79" spans="1:13" ht="15.75">
      <c r="A79" s="753"/>
      <c r="B79" s="672" t="s">
        <v>2</v>
      </c>
      <c r="C79" s="669"/>
      <c r="D79" s="754"/>
      <c r="E79" s="686">
        <v>0.05</v>
      </c>
      <c r="F79" s="671"/>
      <c r="G79" s="671"/>
      <c r="H79" s="671"/>
      <c r="I79" s="671"/>
      <c r="J79" s="671"/>
      <c r="K79" s="671"/>
      <c r="L79" s="755"/>
    </row>
    <row r="80" spans="1:13" ht="15.75">
      <c r="A80" s="753"/>
      <c r="B80" s="664" t="s">
        <v>28</v>
      </c>
      <c r="C80" s="669"/>
      <c r="D80" s="754"/>
      <c r="E80" s="670"/>
      <c r="F80" s="671"/>
      <c r="G80" s="671"/>
      <c r="H80" s="671"/>
      <c r="I80" s="671"/>
      <c r="J80" s="671"/>
      <c r="K80" s="671"/>
      <c r="L80" s="755"/>
    </row>
    <row r="81" spans="1:14" ht="31.5" hidden="1">
      <c r="A81" s="753"/>
      <c r="B81" s="685" t="s">
        <v>64</v>
      </c>
      <c r="C81" s="669"/>
      <c r="D81" s="754"/>
      <c r="E81" s="686">
        <v>0</v>
      </c>
      <c r="F81" s="671"/>
      <c r="G81" s="671"/>
      <c r="H81" s="671"/>
      <c r="I81" s="671"/>
      <c r="J81" s="671"/>
      <c r="K81" s="671"/>
      <c r="L81" s="755"/>
    </row>
    <row r="82" spans="1:14" ht="15.75" hidden="1">
      <c r="A82" s="753"/>
      <c r="B82" s="664" t="s">
        <v>28</v>
      </c>
      <c r="C82" s="669"/>
      <c r="D82" s="754"/>
      <c r="E82" s="670"/>
      <c r="F82" s="671"/>
      <c r="G82" s="671"/>
      <c r="H82" s="671"/>
      <c r="I82" s="671"/>
      <c r="J82" s="671"/>
      <c r="K82" s="671"/>
      <c r="L82" s="755"/>
    </row>
    <row r="83" spans="1:14" ht="15.75">
      <c r="A83" s="753"/>
      <c r="B83" s="672" t="s">
        <v>3</v>
      </c>
      <c r="C83" s="669"/>
      <c r="D83" s="754"/>
      <c r="E83" s="757" t="s">
        <v>51</v>
      </c>
      <c r="F83" s="671"/>
      <c r="G83" s="671"/>
      <c r="H83" s="671"/>
      <c r="I83" s="671"/>
      <c r="J83" s="671"/>
      <c r="K83" s="671"/>
      <c r="L83" s="755"/>
    </row>
    <row r="84" spans="1:14" ht="15.75">
      <c r="A84" s="747"/>
      <c r="B84" s="673" t="s">
        <v>257</v>
      </c>
      <c r="C84" s="674"/>
      <c r="D84" s="745"/>
      <c r="E84" s="675"/>
      <c r="F84" s="676"/>
      <c r="G84" s="676"/>
      <c r="H84" s="676"/>
      <c r="I84" s="676"/>
      <c r="J84" s="676"/>
      <c r="K84" s="676"/>
      <c r="L84" s="746"/>
    </row>
    <row r="85" spans="1:14" ht="15.75" thickBot="1">
      <c r="A85" s="534"/>
      <c r="B85" s="534"/>
      <c r="C85" s="534"/>
      <c r="D85" s="535"/>
      <c r="E85" s="535"/>
      <c r="F85" s="536"/>
      <c r="G85" s="536"/>
      <c r="H85" s="536"/>
      <c r="I85" s="536"/>
      <c r="J85" s="536"/>
      <c r="K85" s="536"/>
      <c r="L85" s="544"/>
    </row>
    <row r="86" spans="1:14" s="12" customFormat="1" ht="16.5" thickBot="1">
      <c r="A86" s="382"/>
      <c r="B86" s="372" t="s">
        <v>96</v>
      </c>
      <c r="C86" s="370"/>
      <c r="D86" s="364"/>
      <c r="E86" s="364"/>
      <c r="F86" s="365"/>
      <c r="G86" s="366"/>
      <c r="H86" s="366"/>
      <c r="I86" s="366"/>
      <c r="J86" s="366"/>
      <c r="K86" s="366"/>
      <c r="L86" s="367">
        <f>L84</f>
        <v>0</v>
      </c>
      <c r="N86" s="170"/>
    </row>
    <row r="87" spans="1:14">
      <c r="A87" s="534"/>
      <c r="B87" s="534"/>
      <c r="C87" s="534"/>
      <c r="D87" s="535"/>
      <c r="E87" s="535"/>
      <c r="F87" s="536"/>
      <c r="G87" s="536"/>
      <c r="H87" s="536"/>
      <c r="I87" s="536"/>
      <c r="J87" s="536"/>
      <c r="K87" s="536"/>
      <c r="L87" s="544"/>
    </row>
    <row r="88" spans="1:14" ht="15.75">
      <c r="A88" s="534"/>
      <c r="B88" s="505"/>
      <c r="C88" s="534"/>
      <c r="D88" s="535"/>
      <c r="E88" s="535"/>
      <c r="F88" s="536"/>
      <c r="G88" s="536"/>
      <c r="H88" s="536"/>
      <c r="I88" s="536"/>
      <c r="J88" s="536"/>
      <c r="K88" s="536"/>
      <c r="L88" s="544"/>
    </row>
  </sheetData>
  <mergeCells count="27">
    <mergeCell ref="A17:A19"/>
    <mergeCell ref="A20:A24"/>
    <mergeCell ref="A25:A26"/>
    <mergeCell ref="A27:A29"/>
    <mergeCell ref="A30:A34"/>
    <mergeCell ref="A61:A63"/>
    <mergeCell ref="A1:L1"/>
    <mergeCell ref="A2:L2"/>
    <mergeCell ref="A4:L4"/>
    <mergeCell ref="A6:C6"/>
    <mergeCell ref="G6:J6"/>
    <mergeCell ref="A7:A8"/>
    <mergeCell ref="B7:B8"/>
    <mergeCell ref="A36:A40"/>
    <mergeCell ref="A41:A45"/>
    <mergeCell ref="A48:A49"/>
    <mergeCell ref="A50:A52"/>
    <mergeCell ref="A53:A58"/>
    <mergeCell ref="A59:A60"/>
    <mergeCell ref="A15:A16"/>
    <mergeCell ref="N7:N8"/>
    <mergeCell ref="C7:C8"/>
    <mergeCell ref="D7:E7"/>
    <mergeCell ref="F7:G7"/>
    <mergeCell ref="H7:I7"/>
    <mergeCell ref="J7:K7"/>
    <mergeCell ref="L7:L8"/>
  </mergeCells>
  <pageMargins left="0.70866141732283472" right="0.15" top="0.45" bottom="0.49" header="0.25" footer="0.31496062992125984"/>
  <pageSetup scale="75" orientation="landscape" horizontalDpi="1200" verticalDpi="1200" r:id="rId1"/>
  <headerFooter>
    <oddHeader>&amp;R&amp;P--&amp;N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O349"/>
  <sheetViews>
    <sheetView view="pageBreakPreview" zoomScaleNormal="80" zoomScaleSheetLayoutView="100" workbookViewId="0">
      <selection activeCell="G33" sqref="G33"/>
    </sheetView>
  </sheetViews>
  <sheetFormatPr defaultColWidth="8.85546875" defaultRowHeight="15.75"/>
  <cols>
    <col min="1" max="1" width="6.7109375" style="18" customWidth="1"/>
    <col min="2" max="2" width="55.5703125" style="3" customWidth="1"/>
    <col min="3" max="3" width="10.7109375" style="18" customWidth="1"/>
    <col min="4" max="4" width="9.42578125" style="71" customWidth="1"/>
    <col min="5" max="5" width="12" style="66" customWidth="1"/>
    <col min="6" max="6" width="10.28515625" style="101" customWidth="1"/>
    <col min="7" max="7" width="13.140625" style="101" customWidth="1"/>
    <col min="8" max="8" width="9" style="101" customWidth="1"/>
    <col min="9" max="9" width="11.42578125" style="101" customWidth="1"/>
    <col min="10" max="10" width="8.85546875" style="101" customWidth="1"/>
    <col min="11" max="11" width="11.140625" style="101" customWidth="1"/>
    <col min="12" max="12" width="16.28515625" style="160" customWidth="1"/>
    <col min="13" max="13" width="22" style="12" customWidth="1"/>
    <col min="14" max="14" width="37.5703125" style="172" customWidth="1"/>
    <col min="15" max="16384" width="8.85546875" style="12"/>
  </cols>
  <sheetData>
    <row r="1" spans="1:15" ht="50.25" customHeight="1">
      <c r="A1" s="618" t="str">
        <f>tavfurceli!B8</f>
        <v>dmanisis municipalitetis sofel zemo orozmanSi skveris mowyobis samuSaoebi</v>
      </c>
      <c r="B1" s="618"/>
      <c r="C1" s="618"/>
      <c r="D1" s="618"/>
      <c r="E1" s="618"/>
      <c r="F1" s="618"/>
      <c r="G1" s="618"/>
      <c r="H1" s="618"/>
      <c r="I1" s="618"/>
      <c r="J1" s="618"/>
      <c r="K1" s="618"/>
      <c r="L1" s="618"/>
      <c r="M1" s="102" t="s">
        <v>78</v>
      </c>
      <c r="N1" s="12"/>
    </row>
    <row r="2" spans="1:15">
      <c r="A2" s="618" t="s">
        <v>231</v>
      </c>
      <c r="B2" s="618"/>
      <c r="C2" s="618"/>
      <c r="D2" s="618"/>
      <c r="E2" s="618"/>
      <c r="F2" s="618"/>
      <c r="G2" s="618"/>
      <c r="H2" s="618"/>
      <c r="I2" s="618"/>
      <c r="J2" s="618"/>
      <c r="K2" s="618"/>
      <c r="L2" s="618"/>
      <c r="N2" s="12"/>
    </row>
    <row r="3" spans="1:15">
      <c r="A3" s="549"/>
      <c r="B3" s="549"/>
      <c r="C3" s="549"/>
      <c r="D3" s="549"/>
      <c r="E3" s="549"/>
      <c r="F3" s="549"/>
      <c r="G3" s="549"/>
      <c r="H3" s="549"/>
      <c r="I3" s="549"/>
      <c r="J3" s="549"/>
      <c r="K3" s="549"/>
      <c r="L3" s="312"/>
      <c r="N3" s="12"/>
    </row>
    <row r="4" spans="1:15">
      <c r="A4" s="619" t="s">
        <v>229</v>
      </c>
      <c r="B4" s="619"/>
      <c r="C4" s="619"/>
      <c r="D4" s="619"/>
      <c r="E4" s="619"/>
      <c r="F4" s="619"/>
      <c r="G4" s="619"/>
      <c r="H4" s="619"/>
      <c r="I4" s="619"/>
      <c r="J4" s="619"/>
      <c r="K4" s="619"/>
      <c r="L4" s="619"/>
      <c r="N4" s="12"/>
    </row>
    <row r="5" spans="1:15">
      <c r="A5" s="556"/>
      <c r="B5" s="556"/>
      <c r="C5" s="556"/>
      <c r="D5" s="556"/>
      <c r="E5" s="556"/>
      <c r="F5" s="556"/>
      <c r="G5" s="556"/>
      <c r="H5" s="556"/>
      <c r="I5" s="556"/>
      <c r="J5" s="556"/>
      <c r="K5" s="556"/>
      <c r="L5" s="557"/>
      <c r="N5" s="12"/>
    </row>
    <row r="6" spans="1:15" ht="30" customHeight="1">
      <c r="A6" s="642"/>
      <c r="B6" s="643"/>
      <c r="C6" s="643"/>
      <c r="D6" s="125"/>
      <c r="E6" s="126"/>
      <c r="F6" s="127"/>
      <c r="G6" s="644" t="s">
        <v>268</v>
      </c>
      <c r="H6" s="644"/>
      <c r="I6" s="644"/>
      <c r="J6" s="644"/>
      <c r="K6" s="128" t="s">
        <v>11</v>
      </c>
      <c r="L6" s="216">
        <f>L40</f>
        <v>0</v>
      </c>
      <c r="N6" s="12"/>
    </row>
    <row r="7" spans="1:15" s="86" customFormat="1" ht="51.75" customHeight="1">
      <c r="A7" s="629" t="s">
        <v>0</v>
      </c>
      <c r="B7" s="631" t="s">
        <v>86</v>
      </c>
      <c r="C7" s="631" t="s">
        <v>87</v>
      </c>
      <c r="D7" s="625" t="s">
        <v>88</v>
      </c>
      <c r="E7" s="626"/>
      <c r="F7" s="627" t="s">
        <v>47</v>
      </c>
      <c r="G7" s="628"/>
      <c r="H7" s="627" t="s">
        <v>65</v>
      </c>
      <c r="I7" s="628"/>
      <c r="J7" s="627" t="s">
        <v>17</v>
      </c>
      <c r="K7" s="628"/>
      <c r="L7" s="633" t="s">
        <v>55</v>
      </c>
      <c r="N7" s="623" t="s">
        <v>89</v>
      </c>
      <c r="O7" s="149"/>
    </row>
    <row r="8" spans="1:15" s="86" customFormat="1" ht="31.5">
      <c r="A8" s="630"/>
      <c r="B8" s="632"/>
      <c r="C8" s="632"/>
      <c r="D8" s="150" t="s">
        <v>90</v>
      </c>
      <c r="E8" s="150" t="s">
        <v>10</v>
      </c>
      <c r="F8" s="151" t="s">
        <v>91</v>
      </c>
      <c r="G8" s="151" t="s">
        <v>92</v>
      </c>
      <c r="H8" s="151" t="s">
        <v>91</v>
      </c>
      <c r="I8" s="151" t="s">
        <v>92</v>
      </c>
      <c r="J8" s="151" t="s">
        <v>91</v>
      </c>
      <c r="K8" s="151" t="s">
        <v>92</v>
      </c>
      <c r="L8" s="634"/>
      <c r="N8" s="624"/>
      <c r="O8" s="149"/>
    </row>
    <row r="9" spans="1:15" s="86" customFormat="1" ht="16.5">
      <c r="A9" s="152">
        <v>1</v>
      </c>
      <c r="B9" s="154">
        <v>3</v>
      </c>
      <c r="C9" s="153">
        <v>4</v>
      </c>
      <c r="D9" s="155">
        <v>5</v>
      </c>
      <c r="E9" s="156">
        <v>6</v>
      </c>
      <c r="F9" s="155">
        <v>7</v>
      </c>
      <c r="G9" s="156">
        <v>8</v>
      </c>
      <c r="H9" s="155">
        <v>9</v>
      </c>
      <c r="I9" s="156">
        <v>10</v>
      </c>
      <c r="J9" s="155">
        <v>11</v>
      </c>
      <c r="K9" s="156">
        <v>12</v>
      </c>
      <c r="L9" s="155">
        <v>13</v>
      </c>
      <c r="M9" s="90"/>
      <c r="N9" s="156">
        <v>14</v>
      </c>
      <c r="O9" s="149"/>
    </row>
    <row r="10" spans="1:15" ht="27">
      <c r="A10" s="76" t="s">
        <v>230</v>
      </c>
      <c r="B10" s="75" t="s">
        <v>216</v>
      </c>
      <c r="C10" s="76"/>
      <c r="D10" s="77"/>
      <c r="E10" s="79"/>
      <c r="F10" s="28"/>
      <c r="G10" s="81"/>
      <c r="H10" s="81"/>
      <c r="I10" s="81"/>
      <c r="J10" s="81"/>
      <c r="K10" s="81"/>
      <c r="L10" s="157"/>
    </row>
    <row r="11" spans="1:15">
      <c r="A11" s="498"/>
      <c r="B11" s="104" t="s">
        <v>217</v>
      </c>
      <c r="C11" s="103"/>
      <c r="D11" s="499"/>
      <c r="E11" s="105"/>
      <c r="F11" s="28"/>
      <c r="G11" s="81"/>
      <c r="H11" s="81"/>
      <c r="I11" s="81"/>
      <c r="J11" s="81"/>
      <c r="K11" s="81"/>
      <c r="L11" s="157"/>
      <c r="N11" s="170"/>
    </row>
    <row r="12" spans="1:15">
      <c r="A12" s="290"/>
      <c r="B12" s="47"/>
      <c r="C12" s="250"/>
      <c r="D12" s="70"/>
      <c r="E12" s="70"/>
      <c r="F12" s="31"/>
      <c r="G12" s="31"/>
      <c r="H12" s="31"/>
      <c r="I12" s="31"/>
      <c r="J12" s="31"/>
      <c r="K12" s="31"/>
      <c r="L12" s="159"/>
    </row>
    <row r="13" spans="1:15">
      <c r="A13" s="290" t="s">
        <v>56</v>
      </c>
      <c r="B13" s="47" t="s">
        <v>225</v>
      </c>
      <c r="C13" s="250" t="s">
        <v>4</v>
      </c>
      <c r="D13" s="70"/>
      <c r="E13" s="70">
        <v>4</v>
      </c>
      <c r="F13" s="31"/>
      <c r="G13" s="31"/>
      <c r="H13" s="31"/>
      <c r="I13" s="31"/>
      <c r="J13" s="31"/>
      <c r="K13" s="31"/>
      <c r="L13" s="159"/>
    </row>
    <row r="14" spans="1:15">
      <c r="A14" s="290" t="s">
        <v>57</v>
      </c>
      <c r="B14" s="47" t="s">
        <v>223</v>
      </c>
      <c r="C14" s="250" t="s">
        <v>4</v>
      </c>
      <c r="D14" s="70"/>
      <c r="E14" s="70">
        <v>4</v>
      </c>
      <c r="F14" s="31"/>
      <c r="G14" s="31"/>
      <c r="H14" s="31"/>
      <c r="I14" s="31"/>
      <c r="J14" s="31"/>
      <c r="K14" s="31"/>
      <c r="L14" s="159"/>
    </row>
    <row r="15" spans="1:15">
      <c r="A15" s="290" t="s">
        <v>35</v>
      </c>
      <c r="B15" s="47" t="s">
        <v>224</v>
      </c>
      <c r="C15" s="250" t="s">
        <v>4</v>
      </c>
      <c r="D15" s="70"/>
      <c r="E15" s="70">
        <v>1</v>
      </c>
      <c r="F15" s="31"/>
      <c r="G15" s="31"/>
      <c r="H15" s="31"/>
      <c r="I15" s="31"/>
      <c r="J15" s="31"/>
      <c r="K15" s="31"/>
      <c r="L15" s="159"/>
    </row>
    <row r="16" spans="1:15">
      <c r="A16" s="290"/>
      <c r="B16" s="47"/>
      <c r="C16" s="250"/>
      <c r="D16" s="70"/>
      <c r="E16" s="70"/>
      <c r="F16" s="31"/>
      <c r="G16" s="31"/>
      <c r="H16" s="31"/>
      <c r="I16" s="31"/>
      <c r="J16" s="31"/>
      <c r="K16" s="31"/>
      <c r="L16" s="159"/>
    </row>
    <row r="17" spans="1:14">
      <c r="A17" s="290" t="s">
        <v>58</v>
      </c>
      <c r="B17" s="47" t="s">
        <v>218</v>
      </c>
      <c r="C17" s="250"/>
      <c r="D17" s="70"/>
      <c r="E17" s="70"/>
      <c r="F17" s="31"/>
      <c r="G17" s="31"/>
      <c r="H17" s="31"/>
      <c r="I17" s="31"/>
      <c r="J17" s="31"/>
      <c r="K17" s="31"/>
      <c r="L17" s="159"/>
    </row>
    <row r="18" spans="1:14" ht="78.75">
      <c r="A18" s="290"/>
      <c r="B18" s="54" t="s">
        <v>219</v>
      </c>
      <c r="C18" s="250" t="s">
        <v>32</v>
      </c>
      <c r="D18" s="70"/>
      <c r="E18" s="70">
        <v>1</v>
      </c>
      <c r="F18" s="31"/>
      <c r="G18" s="31"/>
      <c r="H18" s="31"/>
      <c r="I18" s="31"/>
      <c r="J18" s="31"/>
      <c r="K18" s="31"/>
      <c r="L18" s="159"/>
    </row>
    <row r="19" spans="1:14" ht="47.25">
      <c r="A19" s="290"/>
      <c r="B19" s="47" t="s">
        <v>220</v>
      </c>
      <c r="C19" s="250" t="s">
        <v>32</v>
      </c>
      <c r="D19" s="70"/>
      <c r="E19" s="70">
        <v>2</v>
      </c>
      <c r="F19" s="31"/>
      <c r="G19" s="31"/>
      <c r="H19" s="31"/>
      <c r="I19" s="31"/>
      <c r="J19" s="31"/>
      <c r="K19" s="31"/>
      <c r="L19" s="159"/>
    </row>
    <row r="20" spans="1:14" ht="31.5">
      <c r="A20" s="290"/>
      <c r="B20" s="47" t="s">
        <v>221</v>
      </c>
      <c r="C20" s="250" t="s">
        <v>32</v>
      </c>
      <c r="D20" s="70"/>
      <c r="E20" s="70">
        <v>2</v>
      </c>
      <c r="F20" s="31"/>
      <c r="G20" s="31"/>
      <c r="H20" s="31"/>
      <c r="I20" s="31"/>
      <c r="J20" s="31"/>
      <c r="K20" s="31"/>
      <c r="L20" s="159"/>
    </row>
    <row r="21" spans="1:14" ht="31.5">
      <c r="A21" s="290"/>
      <c r="B21" s="47" t="s">
        <v>226</v>
      </c>
      <c r="C21" s="250" t="s">
        <v>32</v>
      </c>
      <c r="D21" s="70"/>
      <c r="E21" s="70">
        <v>1</v>
      </c>
      <c r="F21" s="31"/>
      <c r="G21" s="31"/>
      <c r="H21" s="31"/>
      <c r="I21" s="31"/>
      <c r="J21" s="31"/>
      <c r="K21" s="31"/>
      <c r="L21" s="159"/>
    </row>
    <row r="22" spans="1:14" ht="31.5" hidden="1">
      <c r="A22" s="290"/>
      <c r="B22" s="47" t="s">
        <v>222</v>
      </c>
      <c r="C22" s="250" t="s">
        <v>32</v>
      </c>
      <c r="D22" s="70"/>
      <c r="E22" s="70">
        <v>0</v>
      </c>
      <c r="F22" s="31"/>
      <c r="G22" s="31"/>
      <c r="H22" s="31"/>
      <c r="I22" s="31"/>
      <c r="J22" s="31"/>
      <c r="K22" s="31"/>
      <c r="L22" s="159"/>
    </row>
    <row r="23" spans="1:14">
      <c r="A23" s="290"/>
      <c r="B23" s="47"/>
      <c r="C23" s="250"/>
      <c r="D23" s="70"/>
      <c r="E23" s="70"/>
      <c r="F23" s="31"/>
      <c r="G23" s="31"/>
      <c r="H23" s="31"/>
      <c r="I23" s="31"/>
      <c r="J23" s="31"/>
      <c r="K23" s="31"/>
      <c r="L23" s="159"/>
    </row>
    <row r="24" spans="1:14">
      <c r="A24" s="290"/>
      <c r="B24" s="47"/>
      <c r="C24" s="250"/>
      <c r="D24" s="70"/>
      <c r="E24" s="70"/>
      <c r="F24" s="31"/>
      <c r="G24" s="31"/>
      <c r="H24" s="31"/>
      <c r="I24" s="31"/>
      <c r="J24" s="31"/>
      <c r="K24" s="31"/>
      <c r="L24" s="159"/>
    </row>
    <row r="25" spans="1:14">
      <c r="A25" s="290"/>
      <c r="B25" s="47"/>
      <c r="C25" s="250"/>
      <c r="D25" s="70"/>
      <c r="E25" s="70"/>
      <c r="F25" s="31"/>
      <c r="G25" s="31"/>
      <c r="H25" s="31"/>
      <c r="I25" s="31"/>
      <c r="J25" s="31"/>
      <c r="K25" s="31"/>
      <c r="L25" s="159"/>
    </row>
    <row r="26" spans="1:14">
      <c r="A26" s="747"/>
      <c r="B26" s="673" t="s">
        <v>228</v>
      </c>
      <c r="C26" s="674"/>
      <c r="D26" s="745"/>
      <c r="E26" s="675"/>
      <c r="F26" s="676"/>
      <c r="G26" s="676"/>
      <c r="H26" s="676"/>
      <c r="I26" s="676"/>
      <c r="J26" s="676"/>
      <c r="K26" s="676"/>
      <c r="L26" s="746"/>
      <c r="M26" s="88">
        <f>G26+I26+K26</f>
        <v>0</v>
      </c>
      <c r="N26" s="12"/>
    </row>
    <row r="27" spans="1:14" ht="27">
      <c r="A27" s="659"/>
      <c r="B27" s="758" t="s">
        <v>281</v>
      </c>
      <c r="C27" s="659"/>
      <c r="D27" s="748"/>
      <c r="E27" s="661" t="s">
        <v>292</v>
      </c>
      <c r="F27" s="662"/>
      <c r="G27" s="662"/>
      <c r="H27" s="662"/>
      <c r="I27" s="662"/>
      <c r="J27" s="662"/>
      <c r="K27" s="662"/>
      <c r="L27" s="759"/>
      <c r="M27" s="86"/>
      <c r="N27" s="12"/>
    </row>
    <row r="28" spans="1:14" hidden="1">
      <c r="A28" s="675"/>
      <c r="B28" s="664" t="s">
        <v>28</v>
      </c>
      <c r="C28" s="745"/>
      <c r="D28" s="675"/>
      <c r="E28" s="675"/>
      <c r="F28" s="675"/>
      <c r="G28" s="676"/>
      <c r="H28" s="676"/>
      <c r="I28" s="676"/>
      <c r="J28" s="676"/>
      <c r="K28" s="676"/>
      <c r="L28" s="746"/>
      <c r="M28" s="86"/>
      <c r="N28" s="12"/>
    </row>
    <row r="29" spans="1:14" ht="33">
      <c r="A29" s="760"/>
      <c r="B29" s="761" t="s">
        <v>267</v>
      </c>
      <c r="C29" s="762"/>
      <c r="D29" s="760"/>
      <c r="E29" s="682" t="s">
        <v>292</v>
      </c>
      <c r="F29" s="760"/>
      <c r="G29" s="760"/>
      <c r="H29" s="760"/>
      <c r="I29" s="763"/>
      <c r="J29" s="763"/>
      <c r="K29" s="763"/>
      <c r="L29" s="764"/>
      <c r="M29" s="86"/>
      <c r="N29" s="12"/>
    </row>
    <row r="30" spans="1:14">
      <c r="A30" s="760"/>
      <c r="B30" s="664" t="s">
        <v>28</v>
      </c>
      <c r="C30" s="762"/>
      <c r="D30" s="760"/>
      <c r="E30" s="684"/>
      <c r="F30" s="760"/>
      <c r="G30" s="760"/>
      <c r="H30" s="760"/>
      <c r="I30" s="763"/>
      <c r="J30" s="763"/>
      <c r="K30" s="763"/>
      <c r="L30" s="764"/>
      <c r="M30" s="86"/>
      <c r="N30" s="12"/>
    </row>
    <row r="31" spans="1:14" ht="16.5">
      <c r="A31" s="760"/>
      <c r="B31" s="761" t="s">
        <v>212</v>
      </c>
      <c r="C31" s="762"/>
      <c r="D31" s="760"/>
      <c r="E31" s="682" t="s">
        <v>292</v>
      </c>
      <c r="F31" s="760"/>
      <c r="G31" s="760"/>
      <c r="H31" s="760"/>
      <c r="I31" s="763"/>
      <c r="J31" s="763"/>
      <c r="K31" s="763"/>
      <c r="L31" s="764"/>
      <c r="M31" s="86"/>
      <c r="N31" s="12"/>
    </row>
    <row r="32" spans="1:14">
      <c r="A32" s="675"/>
      <c r="B32" s="664" t="s">
        <v>28</v>
      </c>
      <c r="C32" s="745"/>
      <c r="D32" s="675"/>
      <c r="E32" s="675"/>
      <c r="F32" s="675"/>
      <c r="G32" s="676"/>
      <c r="H32" s="676"/>
      <c r="I32" s="676"/>
      <c r="J32" s="676"/>
      <c r="K32" s="676"/>
      <c r="L32" s="746"/>
      <c r="M32" s="86"/>
      <c r="N32" s="12"/>
    </row>
    <row r="33" spans="1:14">
      <c r="A33" s="753"/>
      <c r="B33" s="672" t="s">
        <v>2</v>
      </c>
      <c r="C33" s="669"/>
      <c r="D33" s="754"/>
      <c r="E33" s="686">
        <v>0.05</v>
      </c>
      <c r="F33" s="671"/>
      <c r="G33" s="671"/>
      <c r="H33" s="671"/>
      <c r="I33" s="671"/>
      <c r="J33" s="671"/>
      <c r="K33" s="671"/>
      <c r="L33" s="755"/>
      <c r="M33" s="86"/>
      <c r="N33" s="12"/>
    </row>
    <row r="34" spans="1:14">
      <c r="A34" s="753"/>
      <c r="B34" s="664" t="s">
        <v>28</v>
      </c>
      <c r="C34" s="669"/>
      <c r="D34" s="754"/>
      <c r="E34" s="670"/>
      <c r="F34" s="671"/>
      <c r="G34" s="671"/>
      <c r="H34" s="671"/>
      <c r="I34" s="671"/>
      <c r="J34" s="671"/>
      <c r="K34" s="671"/>
      <c r="L34" s="755"/>
      <c r="M34" s="86"/>
      <c r="N34" s="12"/>
    </row>
    <row r="35" spans="1:14" hidden="1">
      <c r="A35" s="753"/>
      <c r="B35" s="685" t="s">
        <v>64</v>
      </c>
      <c r="C35" s="669"/>
      <c r="D35" s="754"/>
      <c r="E35" s="686">
        <v>0</v>
      </c>
      <c r="F35" s="671"/>
      <c r="G35" s="671"/>
      <c r="H35" s="671"/>
      <c r="I35" s="671"/>
      <c r="J35" s="671"/>
      <c r="K35" s="671"/>
      <c r="L35" s="755"/>
      <c r="M35" s="86"/>
      <c r="N35" s="12"/>
    </row>
    <row r="36" spans="1:14" hidden="1">
      <c r="A36" s="753"/>
      <c r="B36" s="664" t="s">
        <v>28</v>
      </c>
      <c r="C36" s="669"/>
      <c r="D36" s="754"/>
      <c r="E36" s="670"/>
      <c r="F36" s="671"/>
      <c r="G36" s="671"/>
      <c r="H36" s="671"/>
      <c r="I36" s="671"/>
      <c r="J36" s="671"/>
      <c r="K36" s="671"/>
      <c r="L36" s="755"/>
      <c r="M36" s="86"/>
      <c r="N36" s="12"/>
    </row>
    <row r="37" spans="1:14">
      <c r="A37" s="753"/>
      <c r="B37" s="672" t="s">
        <v>3</v>
      </c>
      <c r="C37" s="669"/>
      <c r="D37" s="754"/>
      <c r="E37" s="757" t="s">
        <v>51</v>
      </c>
      <c r="F37" s="671"/>
      <c r="G37" s="671"/>
      <c r="H37" s="671"/>
      <c r="I37" s="671"/>
      <c r="J37" s="671"/>
      <c r="K37" s="671"/>
      <c r="L37" s="755"/>
      <c r="M37" s="86"/>
      <c r="N37" s="12"/>
    </row>
    <row r="38" spans="1:14">
      <c r="A38" s="747"/>
      <c r="B38" s="673" t="s">
        <v>227</v>
      </c>
      <c r="C38" s="674"/>
      <c r="D38" s="745"/>
      <c r="E38" s="675"/>
      <c r="F38" s="676"/>
      <c r="G38" s="676"/>
      <c r="H38" s="676"/>
      <c r="I38" s="676"/>
      <c r="J38" s="676"/>
      <c r="K38" s="676"/>
      <c r="L38" s="746"/>
      <c r="M38" s="86"/>
      <c r="N38" s="12"/>
    </row>
    <row r="39" spans="1:14" ht="16.5" thickBot="1">
      <c r="A39" s="765"/>
      <c r="B39" s="766"/>
      <c r="C39" s="765"/>
      <c r="D39" s="767"/>
      <c r="E39" s="767"/>
      <c r="F39" s="768"/>
      <c r="G39" s="768"/>
      <c r="H39" s="768"/>
      <c r="I39" s="768"/>
      <c r="J39" s="768"/>
      <c r="K39" s="768"/>
      <c r="L39" s="769"/>
      <c r="M39" s="86"/>
      <c r="N39" s="12"/>
    </row>
    <row r="40" spans="1:14" ht="16.5" thickBot="1">
      <c r="A40" s="689"/>
      <c r="B40" s="690" t="s">
        <v>227</v>
      </c>
      <c r="C40" s="691"/>
      <c r="D40" s="692"/>
      <c r="E40" s="692"/>
      <c r="F40" s="693"/>
      <c r="G40" s="694"/>
      <c r="H40" s="694"/>
      <c r="I40" s="694"/>
      <c r="J40" s="694"/>
      <c r="K40" s="694"/>
      <c r="L40" s="695"/>
      <c r="N40" s="170"/>
    </row>
    <row r="41" spans="1:14">
      <c r="A41" s="508"/>
      <c r="B41" s="509"/>
      <c r="C41" s="508"/>
      <c r="D41" s="510"/>
      <c r="E41" s="510"/>
      <c r="F41" s="511"/>
      <c r="G41" s="511"/>
      <c r="H41" s="511"/>
      <c r="I41" s="511"/>
      <c r="J41" s="511"/>
      <c r="K41" s="511"/>
      <c r="L41" s="205"/>
      <c r="M41" s="86"/>
      <c r="N41" s="12"/>
    </row>
    <row r="42" spans="1:14">
      <c r="A42" s="508"/>
      <c r="B42" s="505"/>
      <c r="C42" s="506"/>
      <c r="D42" s="496"/>
      <c r="E42" s="496"/>
      <c r="F42" s="497"/>
      <c r="G42" s="497"/>
      <c r="H42" s="512"/>
      <c r="I42" s="512"/>
      <c r="J42" s="512"/>
      <c r="K42" s="512"/>
      <c r="L42" s="309"/>
      <c r="M42" s="86"/>
      <c r="N42" s="12"/>
    </row>
    <row r="43" spans="1:14">
      <c r="F43" s="113"/>
      <c r="G43" s="113"/>
      <c r="H43" s="113"/>
      <c r="I43" s="113"/>
      <c r="J43" s="113"/>
      <c r="K43" s="113"/>
      <c r="N43" s="12"/>
    </row>
    <row r="44" spans="1:14">
      <c r="A44" s="12"/>
      <c r="B44" s="12"/>
      <c r="C44" s="12"/>
      <c r="D44" s="12"/>
      <c r="E44" s="12"/>
      <c r="F44" s="113"/>
      <c r="G44" s="113"/>
      <c r="H44" s="113"/>
      <c r="I44" s="113"/>
      <c r="J44" s="113"/>
      <c r="K44" s="113"/>
      <c r="L44" s="172"/>
      <c r="N44" s="12"/>
    </row>
    <row r="45" spans="1:14">
      <c r="A45" s="12"/>
      <c r="B45" s="12"/>
      <c r="C45" s="12"/>
      <c r="D45" s="12"/>
      <c r="E45" s="12"/>
      <c r="F45" s="113"/>
      <c r="G45" s="113"/>
      <c r="H45" s="113"/>
      <c r="I45" s="113"/>
      <c r="J45" s="113"/>
      <c r="K45" s="113"/>
      <c r="L45" s="172"/>
      <c r="N45" s="12"/>
    </row>
    <row r="46" spans="1:14">
      <c r="A46" s="12"/>
      <c r="B46" s="12"/>
      <c r="C46" s="12"/>
      <c r="D46" s="12"/>
      <c r="E46" s="12"/>
      <c r="F46" s="113"/>
      <c r="G46" s="113"/>
      <c r="H46" s="113"/>
      <c r="I46" s="113"/>
      <c r="J46" s="113"/>
      <c r="K46" s="113"/>
      <c r="L46" s="172"/>
      <c r="N46" s="12"/>
    </row>
    <row r="47" spans="1:14">
      <c r="A47" s="12"/>
      <c r="B47" s="12"/>
      <c r="C47" s="12"/>
      <c r="D47" s="12"/>
      <c r="E47" s="12"/>
      <c r="F47" s="113"/>
      <c r="G47" s="113"/>
      <c r="H47" s="113"/>
      <c r="I47" s="113"/>
      <c r="J47" s="113"/>
      <c r="K47" s="113"/>
      <c r="L47" s="172"/>
      <c r="N47" s="12"/>
    </row>
    <row r="48" spans="1:14">
      <c r="A48" s="12"/>
      <c r="B48" s="12"/>
      <c r="C48" s="12"/>
      <c r="D48" s="12"/>
      <c r="E48" s="12"/>
      <c r="F48" s="113"/>
      <c r="G48" s="113"/>
      <c r="H48" s="113"/>
      <c r="I48" s="113"/>
      <c r="J48" s="113"/>
      <c r="K48" s="113"/>
      <c r="L48" s="172"/>
      <c r="N48" s="12"/>
    </row>
    <row r="49" spans="1:14">
      <c r="A49" s="12"/>
      <c r="B49" s="12"/>
      <c r="C49" s="12"/>
      <c r="D49" s="12"/>
      <c r="E49" s="12"/>
      <c r="F49" s="113"/>
      <c r="G49" s="113"/>
      <c r="H49" s="113"/>
      <c r="I49" s="113"/>
      <c r="J49" s="113"/>
      <c r="K49" s="113"/>
      <c r="L49" s="172"/>
      <c r="N49" s="12"/>
    </row>
    <row r="50" spans="1:14">
      <c r="A50" s="12"/>
      <c r="B50" s="12"/>
      <c r="C50" s="12"/>
      <c r="D50" s="12"/>
      <c r="E50" s="12"/>
      <c r="F50" s="113"/>
      <c r="G50" s="113"/>
      <c r="H50" s="113"/>
      <c r="I50" s="113"/>
      <c r="J50" s="113"/>
      <c r="K50" s="113"/>
      <c r="L50" s="172"/>
      <c r="N50" s="12"/>
    </row>
    <row r="51" spans="1:14">
      <c r="A51" s="12"/>
      <c r="B51" s="12"/>
      <c r="C51" s="12"/>
      <c r="D51" s="12"/>
      <c r="E51" s="12"/>
      <c r="F51" s="113"/>
      <c r="G51" s="113"/>
      <c r="H51" s="113"/>
      <c r="I51" s="113"/>
      <c r="J51" s="113"/>
      <c r="K51" s="113"/>
      <c r="L51" s="172"/>
      <c r="N51" s="12"/>
    </row>
    <row r="52" spans="1:14">
      <c r="A52" s="12"/>
      <c r="B52" s="12"/>
      <c r="C52" s="12"/>
      <c r="D52" s="12"/>
      <c r="E52" s="12"/>
      <c r="F52" s="113"/>
      <c r="G52" s="113"/>
      <c r="H52" s="113"/>
      <c r="I52" s="113"/>
      <c r="J52" s="113"/>
      <c r="K52" s="113"/>
      <c r="L52" s="172"/>
      <c r="N52" s="12"/>
    </row>
    <row r="53" spans="1:14">
      <c r="A53" s="12"/>
      <c r="B53" s="12"/>
      <c r="C53" s="12"/>
      <c r="D53" s="12"/>
      <c r="E53" s="12"/>
      <c r="F53" s="113"/>
      <c r="G53" s="113"/>
      <c r="H53" s="113"/>
      <c r="I53" s="113"/>
      <c r="J53" s="113"/>
      <c r="K53" s="113"/>
      <c r="L53" s="172"/>
      <c r="N53" s="12"/>
    </row>
    <row r="54" spans="1:14">
      <c r="A54" s="12"/>
      <c r="B54" s="12"/>
      <c r="C54" s="12"/>
      <c r="D54" s="12"/>
      <c r="E54" s="12"/>
      <c r="F54" s="113"/>
      <c r="G54" s="113"/>
      <c r="H54" s="113"/>
      <c r="I54" s="113"/>
      <c r="J54" s="113"/>
      <c r="K54" s="113"/>
      <c r="L54" s="172"/>
      <c r="N54" s="12"/>
    </row>
    <row r="55" spans="1:14">
      <c r="A55" s="12"/>
      <c r="B55" s="12"/>
      <c r="C55" s="12"/>
      <c r="D55" s="12"/>
      <c r="E55" s="12"/>
      <c r="F55" s="113"/>
      <c r="G55" s="113"/>
      <c r="H55" s="113"/>
      <c r="I55" s="113"/>
      <c r="J55" s="113"/>
      <c r="K55" s="113"/>
      <c r="L55" s="172"/>
      <c r="N55" s="12"/>
    </row>
    <row r="56" spans="1:14">
      <c r="A56" s="12"/>
      <c r="B56" s="12"/>
      <c r="C56" s="12"/>
      <c r="D56" s="12"/>
      <c r="E56" s="12"/>
      <c r="F56" s="113"/>
      <c r="G56" s="113"/>
      <c r="H56" s="113"/>
      <c r="I56" s="113"/>
      <c r="J56" s="113"/>
      <c r="K56" s="113"/>
      <c r="L56" s="172"/>
      <c r="N56" s="12"/>
    </row>
    <row r="57" spans="1:14">
      <c r="A57" s="12"/>
      <c r="B57" s="12"/>
      <c r="C57" s="12"/>
      <c r="D57" s="12"/>
      <c r="E57" s="12"/>
      <c r="F57" s="113"/>
      <c r="G57" s="113"/>
      <c r="H57" s="113"/>
      <c r="I57" s="113"/>
      <c r="J57" s="113"/>
      <c r="K57" s="113"/>
      <c r="L57" s="172"/>
      <c r="N57" s="12"/>
    </row>
    <row r="58" spans="1:14">
      <c r="A58" s="12"/>
      <c r="B58" s="12"/>
      <c r="C58" s="12"/>
      <c r="D58" s="12"/>
      <c r="E58" s="12"/>
      <c r="F58" s="113"/>
      <c r="G58" s="113"/>
      <c r="H58" s="113"/>
      <c r="I58" s="113"/>
      <c r="J58" s="113"/>
      <c r="K58" s="113"/>
      <c r="L58" s="172"/>
      <c r="N58" s="12"/>
    </row>
    <row r="59" spans="1:14">
      <c r="A59" s="12"/>
      <c r="B59" s="12"/>
      <c r="C59" s="12"/>
      <c r="D59" s="12"/>
      <c r="E59" s="12"/>
      <c r="F59" s="113"/>
      <c r="G59" s="113"/>
      <c r="H59" s="113"/>
      <c r="I59" s="113"/>
      <c r="J59" s="113"/>
      <c r="K59" s="113"/>
      <c r="L59" s="172"/>
      <c r="N59" s="12"/>
    </row>
    <row r="60" spans="1:14">
      <c r="A60" s="12"/>
      <c r="B60" s="12"/>
      <c r="C60" s="12"/>
      <c r="D60" s="12"/>
      <c r="E60" s="12"/>
      <c r="F60" s="113"/>
      <c r="G60" s="113"/>
      <c r="H60" s="113"/>
      <c r="I60" s="113"/>
      <c r="J60" s="113"/>
      <c r="K60" s="113"/>
      <c r="L60" s="172"/>
      <c r="N60" s="12"/>
    </row>
    <row r="61" spans="1:14">
      <c r="A61" s="12"/>
      <c r="B61" s="12"/>
      <c r="C61" s="12"/>
      <c r="D61" s="12"/>
      <c r="E61" s="12"/>
      <c r="F61" s="113"/>
      <c r="G61" s="113"/>
      <c r="H61" s="113"/>
      <c r="I61" s="113"/>
      <c r="J61" s="113"/>
      <c r="K61" s="113"/>
      <c r="L61" s="172"/>
      <c r="N61" s="12"/>
    </row>
    <row r="62" spans="1:14">
      <c r="A62" s="12"/>
      <c r="B62" s="12"/>
      <c r="C62" s="12"/>
      <c r="D62" s="12"/>
      <c r="E62" s="12"/>
      <c r="F62" s="113"/>
      <c r="G62" s="113"/>
      <c r="H62" s="113"/>
      <c r="I62" s="113"/>
      <c r="J62" s="113"/>
      <c r="K62" s="113"/>
      <c r="L62" s="172"/>
      <c r="N62" s="12"/>
    </row>
    <row r="63" spans="1:14">
      <c r="A63" s="12"/>
      <c r="B63" s="12"/>
      <c r="C63" s="12"/>
      <c r="D63" s="12"/>
      <c r="E63" s="12"/>
      <c r="F63" s="113"/>
      <c r="G63" s="113"/>
      <c r="H63" s="113"/>
      <c r="I63" s="113"/>
      <c r="J63" s="113"/>
      <c r="K63" s="113"/>
      <c r="L63" s="172"/>
      <c r="N63" s="12"/>
    </row>
    <row r="64" spans="1:14">
      <c r="A64" s="12"/>
      <c r="B64" s="12"/>
      <c r="C64" s="12"/>
      <c r="D64" s="12"/>
      <c r="E64" s="12"/>
      <c r="F64" s="113"/>
      <c r="G64" s="113"/>
      <c r="H64" s="113"/>
      <c r="I64" s="113"/>
      <c r="J64" s="113"/>
      <c r="K64" s="113"/>
      <c r="L64" s="172"/>
      <c r="N64" s="12"/>
    </row>
    <row r="65" spans="1:14">
      <c r="A65" s="12"/>
      <c r="B65" s="12"/>
      <c r="C65" s="12"/>
      <c r="D65" s="12"/>
      <c r="E65" s="12"/>
      <c r="F65" s="113"/>
      <c r="G65" s="113"/>
      <c r="H65" s="113"/>
      <c r="I65" s="113"/>
      <c r="J65" s="113"/>
      <c r="K65" s="113"/>
      <c r="L65" s="172"/>
      <c r="N65" s="12"/>
    </row>
    <row r="66" spans="1:14">
      <c r="A66" s="12"/>
      <c r="B66" s="12"/>
      <c r="C66" s="12"/>
      <c r="D66" s="12"/>
      <c r="E66" s="12"/>
      <c r="F66" s="113"/>
      <c r="G66" s="113"/>
      <c r="H66" s="113"/>
      <c r="I66" s="113"/>
      <c r="J66" s="113"/>
      <c r="K66" s="113"/>
      <c r="L66" s="172"/>
      <c r="N66" s="12"/>
    </row>
    <row r="67" spans="1:14">
      <c r="A67" s="12"/>
      <c r="B67" s="12"/>
      <c r="C67" s="12"/>
      <c r="D67" s="12"/>
      <c r="E67" s="12"/>
      <c r="F67" s="113"/>
      <c r="G67" s="113"/>
      <c r="H67" s="113"/>
      <c r="I67" s="113"/>
      <c r="J67" s="113"/>
      <c r="K67" s="113"/>
      <c r="L67" s="172"/>
      <c r="N67" s="12"/>
    </row>
    <row r="68" spans="1:14">
      <c r="A68" s="12"/>
      <c r="B68" s="12"/>
      <c r="C68" s="12"/>
      <c r="D68" s="12"/>
      <c r="E68" s="12"/>
      <c r="F68" s="113"/>
      <c r="G68" s="113"/>
      <c r="H68" s="113"/>
      <c r="I68" s="113"/>
      <c r="J68" s="113"/>
      <c r="K68" s="113"/>
      <c r="L68" s="172"/>
      <c r="N68" s="12"/>
    </row>
    <row r="69" spans="1:14">
      <c r="A69" s="12"/>
      <c r="B69" s="12"/>
      <c r="C69" s="12"/>
      <c r="D69" s="12"/>
      <c r="E69" s="12"/>
      <c r="F69" s="113"/>
      <c r="G69" s="113"/>
      <c r="H69" s="113"/>
      <c r="I69" s="113"/>
      <c r="J69" s="113"/>
      <c r="K69" s="113"/>
      <c r="L69" s="172"/>
      <c r="N69" s="12"/>
    </row>
    <row r="70" spans="1:14">
      <c r="A70" s="12"/>
      <c r="B70" s="12"/>
      <c r="C70" s="12"/>
      <c r="D70" s="12"/>
      <c r="E70" s="12"/>
      <c r="F70" s="113"/>
      <c r="G70" s="113"/>
      <c r="H70" s="113"/>
      <c r="I70" s="113"/>
      <c r="J70" s="113"/>
      <c r="K70" s="113"/>
      <c r="L70" s="172"/>
      <c r="N70" s="12"/>
    </row>
    <row r="71" spans="1:14">
      <c r="A71" s="12"/>
      <c r="B71" s="12"/>
      <c r="C71" s="12"/>
      <c r="D71" s="12"/>
      <c r="E71" s="12"/>
      <c r="F71" s="113"/>
      <c r="G71" s="113"/>
      <c r="H71" s="113"/>
      <c r="I71" s="113"/>
      <c r="J71" s="113"/>
      <c r="K71" s="113"/>
      <c r="L71" s="172"/>
      <c r="N71" s="12"/>
    </row>
    <row r="72" spans="1:14">
      <c r="A72" s="12"/>
      <c r="B72" s="12"/>
      <c r="C72" s="12"/>
      <c r="D72" s="12"/>
      <c r="E72" s="12"/>
      <c r="F72" s="113"/>
      <c r="G72" s="113"/>
      <c r="H72" s="113"/>
      <c r="I72" s="113"/>
      <c r="J72" s="113"/>
      <c r="K72" s="113"/>
      <c r="L72" s="172"/>
      <c r="N72" s="12"/>
    </row>
    <row r="73" spans="1:14">
      <c r="A73" s="12"/>
      <c r="B73" s="12"/>
      <c r="C73" s="12"/>
      <c r="D73" s="12"/>
      <c r="E73" s="12"/>
      <c r="F73" s="113"/>
      <c r="G73" s="113"/>
      <c r="H73" s="113"/>
      <c r="I73" s="113"/>
      <c r="J73" s="113"/>
      <c r="K73" s="113"/>
      <c r="L73" s="172"/>
      <c r="N73" s="12"/>
    </row>
    <row r="74" spans="1:14">
      <c r="A74" s="12"/>
      <c r="B74" s="12"/>
      <c r="C74" s="12"/>
      <c r="D74" s="12"/>
      <c r="E74" s="12"/>
      <c r="F74" s="113"/>
      <c r="G74" s="113"/>
      <c r="H74" s="113"/>
      <c r="I74" s="113"/>
      <c r="J74" s="113"/>
      <c r="K74" s="113"/>
      <c r="L74" s="172"/>
      <c r="N74" s="12"/>
    </row>
    <row r="75" spans="1:14">
      <c r="A75" s="12"/>
      <c r="B75" s="12"/>
      <c r="C75" s="12"/>
      <c r="D75" s="12"/>
      <c r="E75" s="12"/>
      <c r="F75" s="113"/>
      <c r="G75" s="113"/>
      <c r="H75" s="113"/>
      <c r="I75" s="113"/>
      <c r="J75" s="113"/>
      <c r="K75" s="113"/>
      <c r="L75" s="172"/>
      <c r="N75" s="12"/>
    </row>
    <row r="76" spans="1:14">
      <c r="A76" s="12"/>
      <c r="B76" s="12"/>
      <c r="C76" s="12"/>
      <c r="D76" s="12"/>
      <c r="E76" s="12"/>
      <c r="F76" s="113"/>
      <c r="G76" s="113"/>
      <c r="H76" s="113"/>
      <c r="I76" s="113"/>
      <c r="J76" s="113"/>
      <c r="K76" s="113"/>
      <c r="L76" s="172"/>
      <c r="N76" s="12"/>
    </row>
    <row r="77" spans="1:14">
      <c r="A77" s="12"/>
      <c r="B77" s="12"/>
      <c r="C77" s="12"/>
      <c r="D77" s="12"/>
      <c r="E77" s="12"/>
      <c r="F77" s="113"/>
      <c r="G77" s="113"/>
      <c r="H77" s="113"/>
      <c r="I77" s="113"/>
      <c r="J77" s="113"/>
      <c r="K77" s="113"/>
      <c r="L77" s="172"/>
      <c r="N77" s="12"/>
    </row>
    <row r="78" spans="1:14">
      <c r="A78" s="12"/>
      <c r="B78" s="12"/>
      <c r="C78" s="12"/>
      <c r="D78" s="12"/>
      <c r="E78" s="12"/>
      <c r="F78" s="113"/>
      <c r="G78" s="113"/>
      <c r="H78" s="113"/>
      <c r="I78" s="113"/>
      <c r="J78" s="113"/>
      <c r="K78" s="113"/>
      <c r="L78" s="172"/>
      <c r="N78" s="12"/>
    </row>
    <row r="79" spans="1:14">
      <c r="A79" s="12"/>
      <c r="B79" s="12"/>
      <c r="C79" s="12"/>
      <c r="D79" s="12"/>
      <c r="E79" s="12"/>
      <c r="F79" s="113"/>
      <c r="G79" s="113"/>
      <c r="H79" s="113"/>
      <c r="I79" s="113"/>
      <c r="J79" s="113"/>
      <c r="K79" s="113"/>
      <c r="L79" s="172"/>
      <c r="N79" s="12"/>
    </row>
    <row r="80" spans="1:14">
      <c r="A80" s="12"/>
      <c r="B80" s="12"/>
      <c r="C80" s="12"/>
      <c r="D80" s="12"/>
      <c r="E80" s="12"/>
      <c r="F80" s="113"/>
      <c r="G80" s="113"/>
      <c r="H80" s="113"/>
      <c r="I80" s="113"/>
      <c r="J80" s="113"/>
      <c r="K80" s="113"/>
      <c r="L80" s="172"/>
      <c r="N80" s="12"/>
    </row>
    <row r="81" spans="1:14">
      <c r="A81" s="12"/>
      <c r="B81" s="12"/>
      <c r="C81" s="12"/>
      <c r="D81" s="12"/>
      <c r="E81" s="12"/>
      <c r="F81" s="113"/>
      <c r="G81" s="113"/>
      <c r="H81" s="113"/>
      <c r="I81" s="113"/>
      <c r="J81" s="113"/>
      <c r="K81" s="113"/>
      <c r="L81" s="172"/>
      <c r="N81" s="12"/>
    </row>
    <row r="82" spans="1:14">
      <c r="A82" s="12"/>
      <c r="B82" s="12"/>
      <c r="C82" s="12"/>
      <c r="D82" s="12"/>
      <c r="E82" s="12"/>
      <c r="F82" s="113"/>
      <c r="G82" s="113"/>
      <c r="H82" s="113"/>
      <c r="I82" s="113"/>
      <c r="J82" s="113"/>
      <c r="K82" s="113"/>
      <c r="L82" s="172"/>
      <c r="N82" s="12"/>
    </row>
    <row r="83" spans="1:14">
      <c r="A83" s="12"/>
      <c r="B83" s="12"/>
      <c r="C83" s="12"/>
      <c r="D83" s="12"/>
      <c r="E83" s="12"/>
      <c r="F83" s="113"/>
      <c r="G83" s="113"/>
      <c r="H83" s="113"/>
      <c r="I83" s="113"/>
      <c r="J83" s="113"/>
      <c r="K83" s="113"/>
      <c r="L83" s="172"/>
      <c r="N83" s="12"/>
    </row>
    <row r="84" spans="1:14">
      <c r="A84" s="12"/>
      <c r="B84" s="12"/>
      <c r="C84" s="12"/>
      <c r="D84" s="12"/>
      <c r="E84" s="12"/>
      <c r="F84" s="113"/>
      <c r="G84" s="113"/>
      <c r="H84" s="113"/>
      <c r="I84" s="113"/>
      <c r="J84" s="113"/>
      <c r="K84" s="113"/>
      <c r="L84" s="172"/>
      <c r="N84" s="12"/>
    </row>
    <row r="85" spans="1:14">
      <c r="A85" s="12"/>
      <c r="B85" s="12"/>
      <c r="C85" s="12"/>
      <c r="D85" s="12"/>
      <c r="E85" s="12"/>
      <c r="F85" s="113"/>
      <c r="G85" s="113"/>
      <c r="H85" s="113"/>
      <c r="I85" s="113"/>
      <c r="J85" s="113"/>
      <c r="K85" s="113"/>
      <c r="L85" s="172"/>
      <c r="N85" s="12"/>
    </row>
    <row r="86" spans="1:14">
      <c r="A86" s="12"/>
      <c r="B86" s="12"/>
      <c r="C86" s="12"/>
      <c r="D86" s="12"/>
      <c r="E86" s="12"/>
      <c r="F86" s="113"/>
      <c r="G86" s="113"/>
      <c r="H86" s="113"/>
      <c r="I86" s="113"/>
      <c r="J86" s="113"/>
      <c r="K86" s="113"/>
      <c r="L86" s="172"/>
      <c r="N86" s="12"/>
    </row>
    <row r="87" spans="1:14">
      <c r="A87" s="12"/>
      <c r="B87" s="12"/>
      <c r="C87" s="12"/>
      <c r="D87" s="12"/>
      <c r="E87" s="12"/>
      <c r="F87" s="113"/>
      <c r="G87" s="113"/>
      <c r="H87" s="113"/>
      <c r="I87" s="113"/>
      <c r="J87" s="113"/>
      <c r="K87" s="113"/>
      <c r="L87" s="172"/>
      <c r="N87" s="12"/>
    </row>
    <row r="88" spans="1:14">
      <c r="A88" s="12"/>
      <c r="B88" s="12"/>
      <c r="C88" s="12"/>
      <c r="D88" s="12"/>
      <c r="E88" s="12"/>
      <c r="F88" s="113"/>
      <c r="G88" s="113"/>
      <c r="H88" s="113"/>
      <c r="I88" s="113"/>
      <c r="J88" s="113"/>
      <c r="K88" s="113"/>
      <c r="L88" s="172"/>
      <c r="N88" s="12"/>
    </row>
    <row r="89" spans="1:14">
      <c r="A89" s="12"/>
      <c r="B89" s="12"/>
      <c r="C89" s="12"/>
      <c r="D89" s="12"/>
      <c r="E89" s="12"/>
      <c r="F89" s="113"/>
      <c r="G89" s="113"/>
      <c r="H89" s="113"/>
      <c r="I89" s="113"/>
      <c r="J89" s="113"/>
      <c r="K89" s="113"/>
      <c r="L89" s="172"/>
      <c r="N89" s="12"/>
    </row>
    <row r="90" spans="1:14">
      <c r="A90" s="12"/>
      <c r="B90" s="12"/>
      <c r="C90" s="12"/>
      <c r="D90" s="12"/>
      <c r="E90" s="12"/>
      <c r="F90" s="113"/>
      <c r="G90" s="113"/>
      <c r="H90" s="113"/>
      <c r="I90" s="113"/>
      <c r="J90" s="113"/>
      <c r="K90" s="113"/>
      <c r="L90" s="172"/>
      <c r="N90" s="12"/>
    </row>
    <row r="91" spans="1:14">
      <c r="A91" s="12"/>
      <c r="B91" s="12"/>
      <c r="C91" s="12"/>
      <c r="D91" s="12"/>
      <c r="E91" s="12"/>
      <c r="F91" s="113"/>
      <c r="G91" s="113"/>
      <c r="H91" s="113"/>
      <c r="I91" s="113"/>
      <c r="J91" s="113"/>
      <c r="K91" s="113"/>
      <c r="L91" s="172"/>
      <c r="N91" s="12"/>
    </row>
    <row r="92" spans="1:14">
      <c r="A92" s="12"/>
      <c r="B92" s="12"/>
      <c r="C92" s="12"/>
      <c r="D92" s="12"/>
      <c r="E92" s="12"/>
      <c r="F92" s="113"/>
      <c r="G92" s="113"/>
      <c r="H92" s="113"/>
      <c r="I92" s="113"/>
      <c r="J92" s="113"/>
      <c r="K92" s="113"/>
      <c r="L92" s="172"/>
      <c r="N92" s="12"/>
    </row>
    <row r="93" spans="1:14">
      <c r="A93" s="12"/>
      <c r="B93" s="12"/>
      <c r="C93" s="12"/>
      <c r="D93" s="12"/>
      <c r="E93" s="12"/>
      <c r="F93" s="113"/>
      <c r="G93" s="113"/>
      <c r="H93" s="113"/>
      <c r="I93" s="113"/>
      <c r="J93" s="113"/>
      <c r="K93" s="113"/>
      <c r="L93" s="172"/>
      <c r="N93" s="12"/>
    </row>
    <row r="94" spans="1:14">
      <c r="A94" s="12"/>
      <c r="B94" s="12"/>
      <c r="C94" s="12"/>
      <c r="D94" s="12"/>
      <c r="E94" s="12"/>
      <c r="F94" s="113"/>
      <c r="G94" s="113"/>
      <c r="H94" s="113"/>
      <c r="I94" s="113"/>
      <c r="J94" s="113"/>
      <c r="K94" s="113"/>
      <c r="L94" s="172"/>
      <c r="N94" s="12"/>
    </row>
    <row r="95" spans="1:14">
      <c r="A95" s="12"/>
      <c r="B95" s="12"/>
      <c r="C95" s="12"/>
      <c r="D95" s="12"/>
      <c r="E95" s="12"/>
      <c r="F95" s="113"/>
      <c r="G95" s="113"/>
      <c r="H95" s="113"/>
      <c r="I95" s="113"/>
      <c r="J95" s="113"/>
      <c r="K95" s="113"/>
      <c r="L95" s="172"/>
      <c r="N95" s="12"/>
    </row>
    <row r="96" spans="1:14">
      <c r="A96" s="12"/>
      <c r="B96" s="12"/>
      <c r="C96" s="12"/>
      <c r="D96" s="12"/>
      <c r="E96" s="12"/>
      <c r="F96" s="113"/>
      <c r="G96" s="113"/>
      <c r="H96" s="113"/>
      <c r="I96" s="113"/>
      <c r="J96" s="113"/>
      <c r="K96" s="113"/>
      <c r="L96" s="172"/>
      <c r="N96" s="12"/>
    </row>
    <row r="97" spans="1:14">
      <c r="A97" s="12"/>
      <c r="B97" s="12"/>
      <c r="C97" s="12"/>
      <c r="D97" s="12"/>
      <c r="E97" s="12"/>
      <c r="F97" s="113"/>
      <c r="G97" s="113"/>
      <c r="H97" s="113"/>
      <c r="I97" s="113"/>
      <c r="J97" s="113"/>
      <c r="K97" s="113"/>
      <c r="L97" s="172"/>
      <c r="N97" s="12"/>
    </row>
    <row r="98" spans="1:14">
      <c r="A98" s="12"/>
      <c r="B98" s="12"/>
      <c r="C98" s="12"/>
      <c r="D98" s="12"/>
      <c r="E98" s="12"/>
      <c r="F98" s="113"/>
      <c r="G98" s="113"/>
      <c r="H98" s="113"/>
      <c r="I98" s="113"/>
      <c r="J98" s="113"/>
      <c r="K98" s="113"/>
      <c r="L98" s="172"/>
      <c r="N98" s="12"/>
    </row>
    <row r="99" spans="1:14">
      <c r="A99" s="12"/>
      <c r="B99" s="12"/>
      <c r="C99" s="12"/>
      <c r="D99" s="12"/>
      <c r="E99" s="12"/>
      <c r="F99" s="113"/>
      <c r="G99" s="113"/>
      <c r="H99" s="113"/>
      <c r="I99" s="113"/>
      <c r="J99" s="113"/>
      <c r="K99" s="113"/>
      <c r="L99" s="172"/>
      <c r="N99" s="12"/>
    </row>
    <row r="100" spans="1:14">
      <c r="A100" s="12"/>
      <c r="B100" s="12"/>
      <c r="C100" s="12"/>
      <c r="D100" s="12"/>
      <c r="E100" s="12"/>
      <c r="F100" s="113"/>
      <c r="G100" s="113"/>
      <c r="H100" s="113"/>
      <c r="I100" s="113"/>
      <c r="J100" s="113"/>
      <c r="K100" s="113"/>
      <c r="L100" s="172"/>
      <c r="N100" s="12"/>
    </row>
    <row r="101" spans="1:14">
      <c r="A101" s="12"/>
      <c r="B101" s="12"/>
      <c r="C101" s="12"/>
      <c r="D101" s="12"/>
      <c r="E101" s="12"/>
      <c r="F101" s="113"/>
      <c r="G101" s="113"/>
      <c r="H101" s="113"/>
      <c r="I101" s="113"/>
      <c r="J101" s="113"/>
      <c r="K101" s="113"/>
      <c r="L101" s="172"/>
      <c r="N101" s="12"/>
    </row>
    <row r="102" spans="1:14">
      <c r="A102" s="12"/>
      <c r="B102" s="12"/>
      <c r="C102" s="12"/>
      <c r="D102" s="12"/>
      <c r="E102" s="12"/>
      <c r="F102" s="113"/>
      <c r="G102" s="113"/>
      <c r="H102" s="113"/>
      <c r="I102" s="113"/>
      <c r="J102" s="113"/>
      <c r="K102" s="113"/>
      <c r="L102" s="172"/>
      <c r="N102" s="12"/>
    </row>
    <row r="103" spans="1:14">
      <c r="A103" s="12"/>
      <c r="B103" s="12"/>
      <c r="C103" s="12"/>
      <c r="D103" s="12"/>
      <c r="E103" s="12"/>
      <c r="F103" s="113"/>
      <c r="G103" s="113"/>
      <c r="H103" s="113"/>
      <c r="I103" s="113"/>
      <c r="J103" s="113"/>
      <c r="K103" s="113"/>
      <c r="L103" s="172"/>
      <c r="N103" s="12"/>
    </row>
    <row r="104" spans="1:14">
      <c r="A104" s="12"/>
      <c r="B104" s="12"/>
      <c r="C104" s="12"/>
      <c r="D104" s="12"/>
      <c r="E104" s="12"/>
      <c r="F104" s="113"/>
      <c r="G104" s="113"/>
      <c r="H104" s="113"/>
      <c r="I104" s="113"/>
      <c r="J104" s="113"/>
      <c r="K104" s="113"/>
      <c r="L104" s="172"/>
      <c r="N104" s="12"/>
    </row>
    <row r="105" spans="1:14">
      <c r="A105" s="12"/>
      <c r="B105" s="12"/>
      <c r="C105" s="12"/>
      <c r="D105" s="12"/>
      <c r="E105" s="12"/>
      <c r="F105" s="113"/>
      <c r="G105" s="113"/>
      <c r="H105" s="113"/>
      <c r="I105" s="113"/>
      <c r="J105" s="113"/>
      <c r="K105" s="113"/>
      <c r="L105" s="172"/>
      <c r="N105" s="12"/>
    </row>
    <row r="106" spans="1:14">
      <c r="A106" s="12"/>
      <c r="B106" s="12"/>
      <c r="C106" s="12"/>
      <c r="D106" s="12"/>
      <c r="E106" s="12"/>
      <c r="F106" s="113"/>
      <c r="G106" s="113"/>
      <c r="H106" s="113"/>
      <c r="I106" s="113"/>
      <c r="J106" s="113"/>
      <c r="K106" s="113"/>
      <c r="L106" s="172"/>
      <c r="N106" s="12"/>
    </row>
    <row r="107" spans="1:14">
      <c r="A107" s="12"/>
      <c r="B107" s="12"/>
      <c r="C107" s="12"/>
      <c r="D107" s="12"/>
      <c r="E107" s="12"/>
      <c r="F107" s="113"/>
      <c r="G107" s="113"/>
      <c r="H107" s="113"/>
      <c r="I107" s="113"/>
      <c r="J107" s="113"/>
      <c r="K107" s="113"/>
      <c r="L107" s="172"/>
      <c r="N107" s="12"/>
    </row>
    <row r="108" spans="1:14">
      <c r="A108" s="12"/>
      <c r="B108" s="12"/>
      <c r="C108" s="12"/>
      <c r="D108" s="12"/>
      <c r="E108" s="12"/>
      <c r="F108" s="113"/>
      <c r="G108" s="113"/>
      <c r="H108" s="113"/>
      <c r="I108" s="113"/>
      <c r="J108" s="113"/>
      <c r="K108" s="113"/>
      <c r="L108" s="172"/>
      <c r="N108" s="12"/>
    </row>
    <row r="109" spans="1:14">
      <c r="A109" s="12"/>
      <c r="B109" s="12"/>
      <c r="C109" s="12"/>
      <c r="D109" s="12"/>
      <c r="E109" s="12"/>
      <c r="F109" s="113"/>
      <c r="G109" s="113"/>
      <c r="H109" s="113"/>
      <c r="I109" s="113"/>
      <c r="J109" s="113"/>
      <c r="K109" s="113"/>
      <c r="L109" s="172"/>
      <c r="N109" s="12"/>
    </row>
    <row r="110" spans="1:14">
      <c r="A110" s="12"/>
      <c r="B110" s="12"/>
      <c r="C110" s="12"/>
      <c r="D110" s="12"/>
      <c r="E110" s="12"/>
      <c r="F110" s="113"/>
      <c r="G110" s="113"/>
      <c r="H110" s="113"/>
      <c r="I110" s="113"/>
      <c r="J110" s="113"/>
      <c r="K110" s="113"/>
      <c r="L110" s="172"/>
      <c r="N110" s="12"/>
    </row>
    <row r="111" spans="1:14">
      <c r="A111" s="12"/>
      <c r="B111" s="12"/>
      <c r="C111" s="12"/>
      <c r="D111" s="12"/>
      <c r="E111" s="12"/>
      <c r="F111" s="113"/>
      <c r="G111" s="113"/>
      <c r="H111" s="113"/>
      <c r="I111" s="113"/>
      <c r="J111" s="113"/>
      <c r="K111" s="113"/>
      <c r="L111" s="172"/>
      <c r="N111" s="12"/>
    </row>
    <row r="112" spans="1:14">
      <c r="A112" s="12"/>
      <c r="B112" s="12"/>
      <c r="C112" s="12"/>
      <c r="D112" s="12"/>
      <c r="E112" s="12"/>
      <c r="F112" s="113"/>
      <c r="G112" s="113"/>
      <c r="H112" s="113"/>
      <c r="I112" s="113"/>
      <c r="J112" s="113"/>
      <c r="K112" s="113"/>
      <c r="L112" s="172"/>
      <c r="N112" s="12"/>
    </row>
    <row r="113" spans="1:14">
      <c r="A113" s="12"/>
      <c r="B113" s="12"/>
      <c r="C113" s="12"/>
      <c r="D113" s="12"/>
      <c r="E113" s="12"/>
      <c r="F113" s="113"/>
      <c r="G113" s="113"/>
      <c r="H113" s="113"/>
      <c r="I113" s="113"/>
      <c r="J113" s="113"/>
      <c r="K113" s="113"/>
      <c r="L113" s="172"/>
      <c r="N113" s="12"/>
    </row>
    <row r="114" spans="1:14">
      <c r="A114" s="12"/>
      <c r="B114" s="12"/>
      <c r="C114" s="12"/>
      <c r="D114" s="12"/>
      <c r="E114" s="12"/>
      <c r="F114" s="113"/>
      <c r="G114" s="113"/>
      <c r="H114" s="113"/>
      <c r="I114" s="113"/>
      <c r="J114" s="113"/>
      <c r="K114" s="113"/>
      <c r="L114" s="172"/>
      <c r="N114" s="12"/>
    </row>
    <row r="115" spans="1:14">
      <c r="A115" s="12"/>
      <c r="B115" s="12"/>
      <c r="C115" s="12"/>
      <c r="D115" s="12"/>
      <c r="E115" s="12"/>
      <c r="F115" s="113"/>
      <c r="G115" s="113"/>
      <c r="H115" s="113"/>
      <c r="I115" s="113"/>
      <c r="J115" s="113"/>
      <c r="K115" s="113"/>
      <c r="L115" s="172"/>
      <c r="N115" s="12"/>
    </row>
    <row r="116" spans="1:14">
      <c r="A116" s="12"/>
      <c r="B116" s="12"/>
      <c r="C116" s="12"/>
      <c r="D116" s="12"/>
      <c r="E116" s="12"/>
      <c r="F116" s="113"/>
      <c r="G116" s="113"/>
      <c r="H116" s="113"/>
      <c r="I116" s="113"/>
      <c r="J116" s="113"/>
      <c r="K116" s="113"/>
      <c r="L116" s="172"/>
      <c r="N116" s="12"/>
    </row>
    <row r="117" spans="1:14">
      <c r="A117" s="12"/>
      <c r="B117" s="12"/>
      <c r="C117" s="12"/>
      <c r="D117" s="12"/>
      <c r="E117" s="12"/>
      <c r="F117" s="113"/>
      <c r="G117" s="113"/>
      <c r="H117" s="113"/>
      <c r="I117" s="113"/>
      <c r="J117" s="113"/>
      <c r="K117" s="113"/>
      <c r="L117" s="172"/>
      <c r="N117" s="12"/>
    </row>
    <row r="118" spans="1:14">
      <c r="A118" s="12"/>
      <c r="B118" s="12"/>
      <c r="C118" s="12"/>
      <c r="D118" s="12"/>
      <c r="E118" s="12"/>
      <c r="F118" s="113"/>
      <c r="G118" s="113"/>
      <c r="H118" s="113"/>
      <c r="I118" s="113"/>
      <c r="J118" s="113"/>
      <c r="K118" s="113"/>
      <c r="L118" s="172"/>
      <c r="N118" s="12"/>
    </row>
    <row r="119" spans="1:14">
      <c r="A119" s="12"/>
      <c r="B119" s="12"/>
      <c r="C119" s="12"/>
      <c r="D119" s="12"/>
      <c r="E119" s="12"/>
      <c r="F119" s="113"/>
      <c r="G119" s="113"/>
      <c r="H119" s="113"/>
      <c r="I119" s="113"/>
      <c r="J119" s="113"/>
      <c r="K119" s="113"/>
      <c r="L119" s="172"/>
      <c r="N119" s="12"/>
    </row>
    <row r="120" spans="1:14">
      <c r="A120" s="12"/>
      <c r="B120" s="12"/>
      <c r="C120" s="12"/>
      <c r="D120" s="12"/>
      <c r="E120" s="12"/>
      <c r="F120" s="113"/>
      <c r="G120" s="113"/>
      <c r="H120" s="113"/>
      <c r="I120" s="113"/>
      <c r="J120" s="113"/>
      <c r="K120" s="113"/>
      <c r="L120" s="172"/>
      <c r="N120" s="12"/>
    </row>
    <row r="121" spans="1:14">
      <c r="A121" s="12"/>
      <c r="B121" s="12"/>
      <c r="C121" s="12"/>
      <c r="D121" s="12"/>
      <c r="E121" s="12"/>
      <c r="F121" s="113"/>
      <c r="G121" s="113"/>
      <c r="H121" s="113"/>
      <c r="I121" s="113"/>
      <c r="J121" s="113"/>
      <c r="K121" s="113"/>
      <c r="L121" s="172"/>
      <c r="N121" s="12"/>
    </row>
    <row r="122" spans="1:14">
      <c r="A122" s="12"/>
      <c r="B122" s="12"/>
      <c r="C122" s="12"/>
      <c r="D122" s="12"/>
      <c r="E122" s="12"/>
      <c r="F122" s="113"/>
      <c r="G122" s="113"/>
      <c r="H122" s="113"/>
      <c r="I122" s="113"/>
      <c r="J122" s="113"/>
      <c r="K122" s="113"/>
      <c r="L122" s="172"/>
      <c r="N122" s="12"/>
    </row>
    <row r="123" spans="1:14">
      <c r="A123" s="12"/>
      <c r="B123" s="12"/>
      <c r="C123" s="12"/>
      <c r="D123" s="12"/>
      <c r="E123" s="12"/>
      <c r="F123" s="113"/>
      <c r="G123" s="113"/>
      <c r="H123" s="113"/>
      <c r="I123" s="113"/>
      <c r="J123" s="113"/>
      <c r="K123" s="113"/>
      <c r="L123" s="172"/>
      <c r="N123" s="12"/>
    </row>
    <row r="124" spans="1:14">
      <c r="A124" s="12"/>
      <c r="B124" s="12"/>
      <c r="C124" s="12"/>
      <c r="D124" s="12"/>
      <c r="E124" s="12"/>
      <c r="F124" s="113"/>
      <c r="G124" s="113"/>
      <c r="H124" s="113"/>
      <c r="I124" s="113"/>
      <c r="J124" s="113"/>
      <c r="K124" s="113"/>
      <c r="L124" s="172"/>
      <c r="N124" s="12"/>
    </row>
    <row r="125" spans="1:14">
      <c r="A125" s="12"/>
      <c r="B125" s="12"/>
      <c r="C125" s="12"/>
      <c r="D125" s="12"/>
      <c r="E125" s="12"/>
      <c r="F125" s="113"/>
      <c r="G125" s="113"/>
      <c r="H125" s="113"/>
      <c r="I125" s="113"/>
      <c r="J125" s="113"/>
      <c r="K125" s="113"/>
      <c r="L125" s="172"/>
      <c r="N125" s="12"/>
    </row>
    <row r="126" spans="1:14">
      <c r="A126" s="12"/>
      <c r="B126" s="12"/>
      <c r="C126" s="12"/>
      <c r="D126" s="12"/>
      <c r="E126" s="12"/>
      <c r="F126" s="113"/>
      <c r="G126" s="113"/>
      <c r="H126" s="113"/>
      <c r="I126" s="113"/>
      <c r="J126" s="113"/>
      <c r="K126" s="113"/>
      <c r="L126" s="172"/>
      <c r="N126" s="12"/>
    </row>
    <row r="127" spans="1:14">
      <c r="A127" s="12"/>
      <c r="B127" s="12"/>
      <c r="C127" s="12"/>
      <c r="D127" s="12"/>
      <c r="E127" s="12"/>
      <c r="F127" s="113"/>
      <c r="G127" s="113"/>
      <c r="H127" s="113"/>
      <c r="I127" s="113"/>
      <c r="J127" s="113"/>
      <c r="K127" s="113"/>
      <c r="L127" s="172"/>
      <c r="N127" s="12"/>
    </row>
    <row r="128" spans="1:14">
      <c r="A128" s="12"/>
      <c r="B128" s="12"/>
      <c r="C128" s="12"/>
      <c r="D128" s="12"/>
      <c r="E128" s="12"/>
      <c r="F128" s="113"/>
      <c r="G128" s="113"/>
      <c r="H128" s="113"/>
      <c r="I128" s="113"/>
      <c r="J128" s="113"/>
      <c r="K128" s="113"/>
      <c r="L128" s="172"/>
      <c r="N128" s="12"/>
    </row>
    <row r="129" spans="1:14">
      <c r="A129" s="12"/>
      <c r="B129" s="12"/>
      <c r="C129" s="12"/>
      <c r="D129" s="12"/>
      <c r="E129" s="12"/>
      <c r="F129" s="113"/>
      <c r="G129" s="113"/>
      <c r="H129" s="113"/>
      <c r="I129" s="113"/>
      <c r="J129" s="113"/>
      <c r="K129" s="113"/>
      <c r="L129" s="172"/>
      <c r="N129" s="12"/>
    </row>
    <row r="130" spans="1:14">
      <c r="A130" s="12"/>
      <c r="B130" s="12"/>
      <c r="C130" s="12"/>
      <c r="D130" s="12"/>
      <c r="E130" s="12"/>
      <c r="F130" s="113"/>
      <c r="G130" s="113"/>
      <c r="H130" s="113"/>
      <c r="I130" s="113"/>
      <c r="J130" s="113"/>
      <c r="K130" s="113"/>
      <c r="L130" s="172"/>
      <c r="N130" s="12"/>
    </row>
    <row r="131" spans="1:14">
      <c r="A131" s="12"/>
      <c r="B131" s="12"/>
      <c r="C131" s="12"/>
      <c r="D131" s="12"/>
      <c r="E131" s="12"/>
      <c r="F131" s="113"/>
      <c r="G131" s="113"/>
      <c r="H131" s="113"/>
      <c r="I131" s="113"/>
      <c r="J131" s="113"/>
      <c r="K131" s="113"/>
      <c r="L131" s="172"/>
      <c r="N131" s="12"/>
    </row>
    <row r="132" spans="1:14">
      <c r="A132" s="12"/>
      <c r="B132" s="12"/>
      <c r="C132" s="12"/>
      <c r="D132" s="12"/>
      <c r="E132" s="12"/>
      <c r="F132" s="113"/>
      <c r="G132" s="113"/>
      <c r="H132" s="113"/>
      <c r="I132" s="113"/>
      <c r="J132" s="113"/>
      <c r="K132" s="113"/>
      <c r="L132" s="172"/>
      <c r="N132" s="12"/>
    </row>
    <row r="133" spans="1:14">
      <c r="A133" s="12"/>
      <c r="B133" s="12"/>
      <c r="C133" s="12"/>
      <c r="D133" s="12"/>
      <c r="E133" s="12"/>
      <c r="F133" s="113"/>
      <c r="G133" s="113"/>
      <c r="H133" s="113"/>
      <c r="I133" s="113"/>
      <c r="J133" s="113"/>
      <c r="K133" s="113"/>
      <c r="L133" s="172"/>
      <c r="N133" s="12"/>
    </row>
    <row r="134" spans="1:14">
      <c r="A134" s="12"/>
      <c r="B134" s="12"/>
      <c r="C134" s="12"/>
      <c r="D134" s="12"/>
      <c r="E134" s="12"/>
      <c r="F134" s="113"/>
      <c r="G134" s="113"/>
      <c r="H134" s="113"/>
      <c r="I134" s="113"/>
      <c r="J134" s="113"/>
      <c r="K134" s="113"/>
      <c r="L134" s="172"/>
      <c r="N134" s="12"/>
    </row>
    <row r="135" spans="1:14">
      <c r="A135" s="12"/>
      <c r="B135" s="12"/>
      <c r="C135" s="12"/>
      <c r="D135" s="12"/>
      <c r="E135" s="12"/>
      <c r="F135" s="113"/>
      <c r="G135" s="113"/>
      <c r="H135" s="113"/>
      <c r="I135" s="113"/>
      <c r="J135" s="113"/>
      <c r="K135" s="113"/>
      <c r="L135" s="172"/>
      <c r="N135" s="12"/>
    </row>
    <row r="136" spans="1:14">
      <c r="A136" s="12"/>
      <c r="B136" s="12"/>
      <c r="C136" s="12"/>
      <c r="D136" s="12"/>
      <c r="E136" s="12"/>
      <c r="F136" s="113"/>
      <c r="G136" s="113"/>
      <c r="H136" s="113"/>
      <c r="I136" s="113"/>
      <c r="J136" s="113"/>
      <c r="K136" s="113"/>
      <c r="L136" s="172"/>
      <c r="N136" s="12"/>
    </row>
    <row r="137" spans="1:14">
      <c r="A137" s="12"/>
      <c r="B137" s="12"/>
      <c r="C137" s="12"/>
      <c r="D137" s="12"/>
      <c r="E137" s="12"/>
      <c r="F137" s="113"/>
      <c r="G137" s="113"/>
      <c r="H137" s="113"/>
      <c r="I137" s="113"/>
      <c r="J137" s="113"/>
      <c r="K137" s="113"/>
      <c r="L137" s="172"/>
      <c r="N137" s="12"/>
    </row>
    <row r="138" spans="1:14">
      <c r="A138" s="12"/>
      <c r="B138" s="12"/>
      <c r="C138" s="12"/>
      <c r="D138" s="12"/>
      <c r="E138" s="12"/>
      <c r="F138" s="113"/>
      <c r="G138" s="113"/>
      <c r="H138" s="113"/>
      <c r="I138" s="113"/>
      <c r="J138" s="113"/>
      <c r="K138" s="113"/>
      <c r="L138" s="172"/>
      <c r="N138" s="12"/>
    </row>
    <row r="139" spans="1:14">
      <c r="A139" s="12"/>
      <c r="B139" s="12"/>
      <c r="C139" s="12"/>
      <c r="D139" s="12"/>
      <c r="E139" s="12"/>
      <c r="F139" s="113"/>
      <c r="G139" s="113"/>
      <c r="H139" s="113"/>
      <c r="I139" s="113"/>
      <c r="J139" s="113"/>
      <c r="K139" s="113"/>
      <c r="L139" s="172"/>
      <c r="N139" s="12"/>
    </row>
    <row r="140" spans="1:14">
      <c r="A140" s="12"/>
      <c r="B140" s="12"/>
      <c r="C140" s="12"/>
      <c r="D140" s="12"/>
      <c r="E140" s="12"/>
      <c r="F140" s="113"/>
      <c r="G140" s="113"/>
      <c r="H140" s="113"/>
      <c r="I140" s="113"/>
      <c r="J140" s="113"/>
      <c r="K140" s="113"/>
      <c r="L140" s="172"/>
      <c r="N140" s="12"/>
    </row>
    <row r="141" spans="1:14">
      <c r="A141" s="12"/>
      <c r="B141" s="12"/>
      <c r="C141" s="12"/>
      <c r="D141" s="12"/>
      <c r="E141" s="12"/>
      <c r="F141" s="113"/>
      <c r="G141" s="113"/>
      <c r="H141" s="113"/>
      <c r="I141" s="113"/>
      <c r="J141" s="113"/>
      <c r="K141" s="113"/>
      <c r="L141" s="172"/>
      <c r="N141" s="12"/>
    </row>
    <row r="142" spans="1:14">
      <c r="A142" s="12"/>
      <c r="B142" s="12"/>
      <c r="C142" s="12"/>
      <c r="D142" s="12"/>
      <c r="E142" s="12"/>
      <c r="F142" s="113"/>
      <c r="G142" s="113"/>
      <c r="H142" s="113"/>
      <c r="I142" s="113"/>
      <c r="J142" s="113"/>
      <c r="K142" s="113"/>
      <c r="L142" s="172"/>
      <c r="N142" s="12"/>
    </row>
    <row r="143" spans="1:14">
      <c r="A143" s="12"/>
      <c r="B143" s="12"/>
      <c r="C143" s="12"/>
      <c r="D143" s="12"/>
      <c r="E143" s="12"/>
      <c r="F143" s="113"/>
      <c r="G143" s="113"/>
      <c r="H143" s="113"/>
      <c r="I143" s="113"/>
      <c r="J143" s="113"/>
      <c r="K143" s="113"/>
      <c r="L143" s="172"/>
      <c r="N143" s="12"/>
    </row>
    <row r="144" spans="1:14">
      <c r="A144" s="12"/>
      <c r="B144" s="12"/>
      <c r="C144" s="12"/>
      <c r="D144" s="12"/>
      <c r="E144" s="12"/>
      <c r="F144" s="113"/>
      <c r="G144" s="113"/>
      <c r="H144" s="113"/>
      <c r="I144" s="113"/>
      <c r="J144" s="113"/>
      <c r="K144" s="113"/>
      <c r="L144" s="172"/>
      <c r="N144" s="12"/>
    </row>
    <row r="145" spans="1:14">
      <c r="A145" s="12"/>
      <c r="B145" s="12"/>
      <c r="C145" s="12"/>
      <c r="D145" s="12"/>
      <c r="E145" s="12"/>
      <c r="F145" s="113"/>
      <c r="G145" s="113"/>
      <c r="H145" s="113"/>
      <c r="I145" s="113"/>
      <c r="J145" s="113"/>
      <c r="K145" s="113"/>
      <c r="L145" s="172"/>
      <c r="N145" s="12"/>
    </row>
    <row r="146" spans="1:14">
      <c r="A146" s="12"/>
      <c r="B146" s="12"/>
      <c r="C146" s="12"/>
      <c r="D146" s="12"/>
      <c r="E146" s="12"/>
      <c r="F146" s="113"/>
      <c r="G146" s="113"/>
      <c r="H146" s="113"/>
      <c r="I146" s="113"/>
      <c r="J146" s="113"/>
      <c r="K146" s="113"/>
      <c r="L146" s="172"/>
      <c r="N146" s="12"/>
    </row>
    <row r="147" spans="1:14">
      <c r="A147" s="12"/>
      <c r="B147" s="12"/>
      <c r="C147" s="12"/>
      <c r="D147" s="12"/>
      <c r="E147" s="12"/>
      <c r="F147" s="113"/>
      <c r="G147" s="113"/>
      <c r="H147" s="113"/>
      <c r="I147" s="113"/>
      <c r="J147" s="113"/>
      <c r="K147" s="113"/>
      <c r="L147" s="172"/>
      <c r="N147" s="12"/>
    </row>
    <row r="148" spans="1:14">
      <c r="A148" s="12"/>
      <c r="B148" s="12"/>
      <c r="C148" s="12"/>
      <c r="D148" s="12"/>
      <c r="E148" s="12"/>
      <c r="F148" s="113"/>
      <c r="G148" s="113"/>
      <c r="H148" s="113"/>
      <c r="I148" s="113"/>
      <c r="J148" s="113"/>
      <c r="K148" s="113"/>
      <c r="L148" s="172"/>
      <c r="N148" s="12"/>
    </row>
    <row r="149" spans="1:14">
      <c r="A149" s="12"/>
      <c r="B149" s="12"/>
      <c r="C149" s="12"/>
      <c r="D149" s="12"/>
      <c r="E149" s="12"/>
      <c r="F149" s="113"/>
      <c r="G149" s="113"/>
      <c r="H149" s="113"/>
      <c r="I149" s="113"/>
      <c r="J149" s="113"/>
      <c r="K149" s="113"/>
      <c r="L149" s="172"/>
      <c r="N149" s="12"/>
    </row>
    <row r="150" spans="1:14">
      <c r="A150" s="12"/>
      <c r="B150" s="12"/>
      <c r="C150" s="12"/>
      <c r="D150" s="12"/>
      <c r="E150" s="12"/>
      <c r="F150" s="113"/>
      <c r="G150" s="113"/>
      <c r="H150" s="113"/>
      <c r="I150" s="113"/>
      <c r="J150" s="113"/>
      <c r="K150" s="113"/>
      <c r="L150" s="172"/>
      <c r="N150" s="12"/>
    </row>
    <row r="151" spans="1:14">
      <c r="A151" s="12"/>
      <c r="B151" s="12"/>
      <c r="C151" s="12"/>
      <c r="D151" s="12"/>
      <c r="E151" s="12"/>
      <c r="F151" s="113"/>
      <c r="G151" s="113"/>
      <c r="H151" s="113"/>
      <c r="I151" s="113"/>
      <c r="J151" s="113"/>
      <c r="K151" s="113"/>
      <c r="L151" s="172"/>
      <c r="N151" s="12"/>
    </row>
    <row r="152" spans="1:14">
      <c r="A152" s="12"/>
      <c r="B152" s="12"/>
      <c r="C152" s="12"/>
      <c r="D152" s="12"/>
      <c r="E152" s="12"/>
      <c r="F152" s="113"/>
      <c r="G152" s="113"/>
      <c r="H152" s="113"/>
      <c r="I152" s="113"/>
      <c r="J152" s="113"/>
      <c r="K152" s="113"/>
      <c r="L152" s="172"/>
      <c r="N152" s="12"/>
    </row>
    <row r="153" spans="1:14">
      <c r="A153" s="12"/>
      <c r="B153" s="12"/>
      <c r="C153" s="12"/>
      <c r="D153" s="12"/>
      <c r="E153" s="12"/>
      <c r="F153" s="113"/>
      <c r="G153" s="113"/>
      <c r="H153" s="113"/>
      <c r="I153" s="113"/>
      <c r="J153" s="113"/>
      <c r="K153" s="113"/>
      <c r="L153" s="172"/>
      <c r="N153" s="12"/>
    </row>
    <row r="154" spans="1:14">
      <c r="A154" s="12"/>
      <c r="B154" s="12"/>
      <c r="C154" s="12"/>
      <c r="D154" s="12"/>
      <c r="E154" s="12"/>
      <c r="F154" s="113"/>
      <c r="G154" s="113"/>
      <c r="H154" s="113"/>
      <c r="I154" s="113"/>
      <c r="J154" s="113"/>
      <c r="K154" s="113"/>
      <c r="L154" s="172"/>
      <c r="N154" s="12"/>
    </row>
    <row r="155" spans="1:14">
      <c r="A155" s="12"/>
      <c r="B155" s="12"/>
      <c r="C155" s="12"/>
      <c r="D155" s="12"/>
      <c r="E155" s="12"/>
      <c r="F155" s="113"/>
      <c r="G155" s="113"/>
      <c r="H155" s="113"/>
      <c r="I155" s="113"/>
      <c r="J155" s="113"/>
      <c r="K155" s="113"/>
      <c r="L155" s="172"/>
      <c r="N155" s="12"/>
    </row>
    <row r="156" spans="1:14">
      <c r="A156" s="12"/>
      <c r="B156" s="12"/>
      <c r="C156" s="12"/>
      <c r="D156" s="12"/>
      <c r="E156" s="12"/>
      <c r="F156" s="113"/>
      <c r="G156" s="113"/>
      <c r="H156" s="113"/>
      <c r="I156" s="113"/>
      <c r="J156" s="113"/>
      <c r="K156" s="113"/>
      <c r="L156" s="172"/>
      <c r="N156" s="12"/>
    </row>
    <row r="157" spans="1:14">
      <c r="A157" s="12"/>
      <c r="B157" s="12"/>
      <c r="C157" s="12"/>
      <c r="D157" s="12"/>
      <c r="E157" s="12"/>
      <c r="F157" s="113"/>
      <c r="G157" s="113"/>
      <c r="H157" s="113"/>
      <c r="I157" s="113"/>
      <c r="J157" s="113"/>
      <c r="K157" s="113"/>
      <c r="L157" s="172"/>
      <c r="N157" s="12"/>
    </row>
    <row r="158" spans="1:14">
      <c r="A158" s="12"/>
      <c r="B158" s="12"/>
      <c r="C158" s="12"/>
      <c r="D158" s="12"/>
      <c r="E158" s="12"/>
      <c r="F158" s="113"/>
      <c r="G158" s="113"/>
      <c r="H158" s="113"/>
      <c r="I158" s="113"/>
      <c r="J158" s="113"/>
      <c r="K158" s="113"/>
      <c r="L158" s="172"/>
      <c r="N158" s="12"/>
    </row>
    <row r="159" spans="1:14">
      <c r="A159" s="12"/>
      <c r="B159" s="12"/>
      <c r="C159" s="12"/>
      <c r="D159" s="12"/>
      <c r="E159" s="12"/>
      <c r="F159" s="113"/>
      <c r="G159" s="113"/>
      <c r="H159" s="113"/>
      <c r="I159" s="113"/>
      <c r="J159" s="113"/>
      <c r="K159" s="113"/>
      <c r="L159" s="172"/>
      <c r="N159" s="12"/>
    </row>
    <row r="160" spans="1:14">
      <c r="A160" s="12"/>
      <c r="B160" s="12"/>
      <c r="C160" s="12"/>
      <c r="D160" s="12"/>
      <c r="E160" s="12"/>
      <c r="F160" s="113"/>
      <c r="G160" s="113"/>
      <c r="H160" s="113"/>
      <c r="I160" s="113"/>
      <c r="J160" s="113"/>
      <c r="K160" s="113"/>
      <c r="L160" s="172"/>
      <c r="N160" s="12"/>
    </row>
    <row r="161" spans="1:14">
      <c r="A161" s="12"/>
      <c r="B161" s="12"/>
      <c r="C161" s="12"/>
      <c r="D161" s="12"/>
      <c r="E161" s="12"/>
      <c r="F161" s="113"/>
      <c r="G161" s="113"/>
      <c r="H161" s="113"/>
      <c r="I161" s="113"/>
      <c r="J161" s="113"/>
      <c r="K161" s="113"/>
      <c r="L161" s="172"/>
      <c r="N161" s="12"/>
    </row>
    <row r="162" spans="1:14">
      <c r="A162" s="12"/>
      <c r="B162" s="12"/>
      <c r="C162" s="12"/>
      <c r="D162" s="12"/>
      <c r="E162" s="12"/>
      <c r="F162" s="113"/>
      <c r="G162" s="113"/>
      <c r="H162" s="113"/>
      <c r="I162" s="113"/>
      <c r="J162" s="113"/>
      <c r="K162" s="113"/>
      <c r="L162" s="172"/>
      <c r="N162" s="12"/>
    </row>
    <row r="163" spans="1:14">
      <c r="A163" s="12"/>
      <c r="B163" s="12"/>
      <c r="C163" s="12"/>
      <c r="D163" s="12"/>
      <c r="E163" s="12"/>
      <c r="F163" s="113"/>
      <c r="G163" s="113"/>
      <c r="H163" s="113"/>
      <c r="I163" s="113"/>
      <c r="J163" s="113"/>
      <c r="K163" s="113"/>
      <c r="L163" s="172"/>
      <c r="N163" s="12"/>
    </row>
    <row r="164" spans="1:14">
      <c r="A164" s="12"/>
      <c r="B164" s="12"/>
      <c r="C164" s="12"/>
      <c r="D164" s="12"/>
      <c r="E164" s="12"/>
      <c r="F164" s="113"/>
      <c r="G164" s="113"/>
      <c r="H164" s="113"/>
      <c r="I164" s="113"/>
      <c r="J164" s="113"/>
      <c r="K164" s="113"/>
      <c r="L164" s="172"/>
      <c r="N164" s="12"/>
    </row>
    <row r="165" spans="1:14">
      <c r="A165" s="12"/>
      <c r="B165" s="12"/>
      <c r="C165" s="12"/>
      <c r="D165" s="12"/>
      <c r="E165" s="12"/>
      <c r="F165" s="113"/>
      <c r="G165" s="113"/>
      <c r="H165" s="113"/>
      <c r="I165" s="113"/>
      <c r="J165" s="113"/>
      <c r="K165" s="113"/>
      <c r="L165" s="172"/>
      <c r="N165" s="12"/>
    </row>
    <row r="166" spans="1:14">
      <c r="A166" s="12"/>
      <c r="B166" s="12"/>
      <c r="C166" s="12"/>
      <c r="D166" s="12"/>
      <c r="E166" s="12"/>
      <c r="F166" s="113"/>
      <c r="G166" s="113"/>
      <c r="H166" s="113"/>
      <c r="I166" s="113"/>
      <c r="J166" s="113"/>
      <c r="K166" s="113"/>
      <c r="L166" s="172"/>
      <c r="N166" s="12"/>
    </row>
    <row r="167" spans="1:14">
      <c r="A167" s="12"/>
      <c r="B167" s="12"/>
      <c r="C167" s="12"/>
      <c r="D167" s="12"/>
      <c r="E167" s="12"/>
      <c r="F167" s="113"/>
      <c r="G167" s="113"/>
      <c r="H167" s="113"/>
      <c r="I167" s="113"/>
      <c r="J167" s="113"/>
      <c r="K167" s="113"/>
      <c r="L167" s="172"/>
      <c r="N167" s="12"/>
    </row>
    <row r="168" spans="1:14">
      <c r="A168" s="12"/>
      <c r="B168" s="12"/>
      <c r="C168" s="12"/>
      <c r="D168" s="12"/>
      <c r="E168" s="12"/>
      <c r="F168" s="113"/>
      <c r="G168" s="113"/>
      <c r="H168" s="113"/>
      <c r="I168" s="113"/>
      <c r="J168" s="113"/>
      <c r="K168" s="113"/>
      <c r="L168" s="172"/>
      <c r="N168" s="12"/>
    </row>
    <row r="169" spans="1:14">
      <c r="A169" s="12"/>
      <c r="B169" s="12"/>
      <c r="C169" s="12"/>
      <c r="D169" s="12"/>
      <c r="E169" s="12"/>
      <c r="F169" s="113"/>
      <c r="G169" s="113"/>
      <c r="H169" s="113"/>
      <c r="I169" s="113"/>
      <c r="J169" s="113"/>
      <c r="K169" s="113"/>
      <c r="L169" s="172"/>
      <c r="N169" s="12"/>
    </row>
    <row r="170" spans="1:14">
      <c r="A170" s="12"/>
      <c r="B170" s="12"/>
      <c r="C170" s="12"/>
      <c r="D170" s="12"/>
      <c r="E170" s="12"/>
      <c r="F170" s="113"/>
      <c r="G170" s="113"/>
      <c r="H170" s="113"/>
      <c r="I170" s="113"/>
      <c r="J170" s="113"/>
      <c r="K170" s="113"/>
      <c r="L170" s="172"/>
      <c r="N170" s="12"/>
    </row>
    <row r="171" spans="1:14">
      <c r="A171" s="12"/>
      <c r="B171" s="12"/>
      <c r="C171" s="12"/>
      <c r="D171" s="12"/>
      <c r="E171" s="12"/>
      <c r="F171" s="113"/>
      <c r="G171" s="113"/>
      <c r="H171" s="113"/>
      <c r="I171" s="113"/>
      <c r="J171" s="113"/>
      <c r="K171" s="113"/>
      <c r="L171" s="172"/>
      <c r="N171" s="12"/>
    </row>
    <row r="172" spans="1:14">
      <c r="A172" s="12"/>
      <c r="B172" s="12"/>
      <c r="C172" s="12"/>
      <c r="D172" s="12"/>
      <c r="E172" s="12"/>
      <c r="F172" s="113"/>
      <c r="G172" s="113"/>
      <c r="H172" s="113"/>
      <c r="I172" s="113"/>
      <c r="J172" s="113"/>
      <c r="K172" s="113"/>
      <c r="L172" s="172"/>
      <c r="N172" s="12"/>
    </row>
    <row r="173" spans="1:14">
      <c r="A173" s="12"/>
      <c r="B173" s="12"/>
      <c r="C173" s="12"/>
      <c r="D173" s="12"/>
      <c r="E173" s="12"/>
      <c r="F173" s="113"/>
      <c r="G173" s="113"/>
      <c r="H173" s="113"/>
      <c r="I173" s="113"/>
      <c r="J173" s="113"/>
      <c r="K173" s="113"/>
      <c r="L173" s="172"/>
      <c r="N173" s="12"/>
    </row>
    <row r="174" spans="1:14">
      <c r="A174" s="12"/>
      <c r="B174" s="12"/>
      <c r="C174" s="12"/>
      <c r="D174" s="12"/>
      <c r="E174" s="12"/>
      <c r="F174" s="113"/>
      <c r="G174" s="113"/>
      <c r="H174" s="113"/>
      <c r="I174" s="113"/>
      <c r="J174" s="113"/>
      <c r="K174" s="113"/>
      <c r="L174" s="172"/>
      <c r="N174" s="12"/>
    </row>
    <row r="175" spans="1:14">
      <c r="A175" s="12"/>
      <c r="B175" s="12"/>
      <c r="C175" s="12"/>
      <c r="D175" s="12"/>
      <c r="E175" s="12"/>
      <c r="F175" s="113"/>
      <c r="G175" s="113"/>
      <c r="H175" s="113"/>
      <c r="I175" s="113"/>
      <c r="J175" s="113"/>
      <c r="K175" s="113"/>
      <c r="L175" s="172"/>
      <c r="N175" s="12"/>
    </row>
    <row r="176" spans="1:14">
      <c r="A176" s="12"/>
      <c r="B176" s="12"/>
      <c r="C176" s="12"/>
      <c r="D176" s="12"/>
      <c r="E176" s="12"/>
      <c r="F176" s="113"/>
      <c r="G176" s="113"/>
      <c r="H176" s="113"/>
      <c r="I176" s="113"/>
      <c r="J176" s="113"/>
      <c r="K176" s="113"/>
      <c r="L176" s="172"/>
      <c r="N176" s="12"/>
    </row>
    <row r="177" spans="1:14">
      <c r="A177" s="12"/>
      <c r="B177" s="12"/>
      <c r="C177" s="12"/>
      <c r="D177" s="12"/>
      <c r="E177" s="12"/>
      <c r="F177" s="113"/>
      <c r="G177" s="113"/>
      <c r="H177" s="113"/>
      <c r="I177" s="113"/>
      <c r="J177" s="113"/>
      <c r="K177" s="113"/>
      <c r="L177" s="172"/>
      <c r="N177" s="12"/>
    </row>
    <row r="178" spans="1:14">
      <c r="A178" s="12"/>
      <c r="B178" s="12"/>
      <c r="C178" s="12"/>
      <c r="D178" s="12"/>
      <c r="E178" s="12"/>
      <c r="F178" s="113"/>
      <c r="G178" s="113"/>
      <c r="H178" s="113"/>
      <c r="I178" s="113"/>
      <c r="J178" s="113"/>
      <c r="K178" s="113"/>
      <c r="L178" s="172"/>
      <c r="N178" s="12"/>
    </row>
    <row r="179" spans="1:14">
      <c r="A179" s="12"/>
      <c r="B179" s="12"/>
      <c r="C179" s="12"/>
      <c r="D179" s="12"/>
      <c r="E179" s="12"/>
      <c r="F179" s="113"/>
      <c r="G179" s="113"/>
      <c r="H179" s="113"/>
      <c r="I179" s="113"/>
      <c r="J179" s="113"/>
      <c r="K179" s="113"/>
      <c r="L179" s="172"/>
      <c r="N179" s="12"/>
    </row>
    <row r="180" spans="1:14">
      <c r="A180" s="12"/>
      <c r="B180" s="12"/>
      <c r="C180" s="12"/>
      <c r="D180" s="12"/>
      <c r="E180" s="12"/>
      <c r="F180" s="113"/>
      <c r="G180" s="113"/>
      <c r="H180" s="113"/>
      <c r="I180" s="113"/>
      <c r="J180" s="113"/>
      <c r="K180" s="113"/>
      <c r="L180" s="172"/>
      <c r="N180" s="12"/>
    </row>
    <row r="181" spans="1:14">
      <c r="A181" s="12"/>
      <c r="B181" s="12"/>
      <c r="C181" s="12"/>
      <c r="D181" s="12"/>
      <c r="E181" s="12"/>
      <c r="F181" s="113"/>
      <c r="G181" s="113"/>
      <c r="H181" s="113"/>
      <c r="I181" s="113"/>
      <c r="J181" s="113"/>
      <c r="K181" s="113"/>
      <c r="L181" s="172"/>
      <c r="N181" s="12"/>
    </row>
    <row r="182" spans="1:14">
      <c r="A182" s="12"/>
      <c r="B182" s="12"/>
      <c r="C182" s="12"/>
      <c r="D182" s="12"/>
      <c r="E182" s="12"/>
      <c r="F182" s="113"/>
      <c r="G182" s="113"/>
      <c r="H182" s="113"/>
      <c r="I182" s="113"/>
      <c r="J182" s="113"/>
      <c r="K182" s="113"/>
      <c r="L182" s="172"/>
      <c r="N182" s="12"/>
    </row>
    <row r="183" spans="1:14">
      <c r="A183" s="12"/>
      <c r="B183" s="12"/>
      <c r="C183" s="12"/>
      <c r="D183" s="12"/>
      <c r="E183" s="12"/>
      <c r="F183" s="113"/>
      <c r="G183" s="113"/>
      <c r="H183" s="113"/>
      <c r="I183" s="113"/>
      <c r="J183" s="113"/>
      <c r="K183" s="113"/>
      <c r="L183" s="172"/>
      <c r="N183" s="12"/>
    </row>
    <row r="184" spans="1:14">
      <c r="A184" s="12"/>
      <c r="B184" s="12"/>
      <c r="C184" s="12"/>
      <c r="D184" s="12"/>
      <c r="E184" s="12"/>
      <c r="F184" s="113"/>
      <c r="G184" s="113"/>
      <c r="H184" s="113"/>
      <c r="I184" s="113"/>
      <c r="J184" s="113"/>
      <c r="K184" s="113"/>
      <c r="L184" s="172"/>
      <c r="N184" s="12"/>
    </row>
    <row r="185" spans="1:14">
      <c r="A185" s="12"/>
      <c r="B185" s="12"/>
      <c r="C185" s="12"/>
      <c r="D185" s="12"/>
      <c r="E185" s="12"/>
      <c r="F185" s="113"/>
      <c r="G185" s="113"/>
      <c r="H185" s="113"/>
      <c r="I185" s="113"/>
      <c r="J185" s="113"/>
      <c r="K185" s="113"/>
      <c r="L185" s="172"/>
      <c r="N185" s="12"/>
    </row>
    <row r="186" spans="1:14">
      <c r="A186" s="12"/>
      <c r="B186" s="12"/>
      <c r="C186" s="12"/>
      <c r="D186" s="12"/>
      <c r="E186" s="12"/>
      <c r="F186" s="113"/>
      <c r="G186" s="113"/>
      <c r="H186" s="113"/>
      <c r="I186" s="113"/>
      <c r="J186" s="113"/>
      <c r="K186" s="113"/>
      <c r="L186" s="172"/>
      <c r="N186" s="12"/>
    </row>
    <row r="187" spans="1:14">
      <c r="A187" s="12"/>
      <c r="B187" s="12"/>
      <c r="C187" s="12"/>
      <c r="D187" s="12"/>
      <c r="E187" s="12"/>
      <c r="F187" s="113"/>
      <c r="G187" s="113"/>
      <c r="H187" s="113"/>
      <c r="I187" s="113"/>
      <c r="J187" s="113"/>
      <c r="K187" s="113"/>
      <c r="L187" s="172"/>
      <c r="N187" s="12"/>
    </row>
    <row r="188" spans="1:14">
      <c r="A188" s="12"/>
      <c r="B188" s="12"/>
      <c r="C188" s="12"/>
      <c r="D188" s="12"/>
      <c r="E188" s="12"/>
      <c r="F188" s="113"/>
      <c r="G188" s="113"/>
      <c r="H188" s="113"/>
      <c r="I188" s="113"/>
      <c r="J188" s="113"/>
      <c r="K188" s="113"/>
      <c r="L188" s="172"/>
      <c r="N188" s="12"/>
    </row>
    <row r="189" spans="1:14">
      <c r="A189" s="12"/>
      <c r="B189" s="12"/>
      <c r="C189" s="12"/>
      <c r="D189" s="12"/>
      <c r="E189" s="12"/>
      <c r="F189" s="113"/>
      <c r="G189" s="113"/>
      <c r="H189" s="113"/>
      <c r="I189" s="113"/>
      <c r="J189" s="113"/>
      <c r="K189" s="113"/>
      <c r="L189" s="172"/>
      <c r="N189" s="12"/>
    </row>
    <row r="190" spans="1:14">
      <c r="A190" s="12"/>
      <c r="B190" s="12"/>
      <c r="C190" s="12"/>
      <c r="D190" s="12"/>
      <c r="E190" s="12"/>
      <c r="F190" s="113"/>
      <c r="G190" s="113"/>
      <c r="H190" s="113"/>
      <c r="I190" s="113"/>
      <c r="J190" s="113"/>
      <c r="K190" s="113"/>
      <c r="L190" s="172"/>
      <c r="N190" s="12"/>
    </row>
    <row r="191" spans="1:14">
      <c r="A191" s="12"/>
      <c r="B191" s="12"/>
      <c r="C191" s="12"/>
      <c r="D191" s="12"/>
      <c r="E191" s="12"/>
      <c r="F191" s="113"/>
      <c r="G191" s="113"/>
      <c r="H191" s="113"/>
      <c r="I191" s="113"/>
      <c r="J191" s="113"/>
      <c r="K191" s="113"/>
      <c r="L191" s="172"/>
      <c r="N191" s="12"/>
    </row>
    <row r="192" spans="1:14">
      <c r="A192" s="12"/>
      <c r="B192" s="12"/>
      <c r="C192" s="12"/>
      <c r="D192" s="12"/>
      <c r="E192" s="12"/>
      <c r="F192" s="113"/>
      <c r="G192" s="113"/>
      <c r="H192" s="113"/>
      <c r="I192" s="113"/>
      <c r="J192" s="113"/>
      <c r="K192" s="113"/>
      <c r="L192" s="172"/>
      <c r="N192" s="12"/>
    </row>
    <row r="193" spans="1:14">
      <c r="A193" s="12"/>
      <c r="B193" s="12"/>
      <c r="C193" s="12"/>
      <c r="D193" s="12"/>
      <c r="E193" s="12"/>
      <c r="F193" s="113"/>
      <c r="G193" s="113"/>
      <c r="H193" s="113"/>
      <c r="I193" s="113"/>
      <c r="J193" s="113"/>
      <c r="K193" s="113"/>
      <c r="L193" s="172"/>
      <c r="N193" s="12"/>
    </row>
    <row r="194" spans="1:14">
      <c r="A194" s="12"/>
      <c r="B194" s="12"/>
      <c r="C194" s="12"/>
      <c r="D194" s="12"/>
      <c r="E194" s="12"/>
      <c r="F194" s="113"/>
      <c r="G194" s="113"/>
      <c r="H194" s="113"/>
      <c r="I194" s="113"/>
      <c r="J194" s="113"/>
      <c r="K194" s="113"/>
      <c r="L194" s="172"/>
      <c r="N194" s="12"/>
    </row>
    <row r="195" spans="1:14">
      <c r="A195" s="12"/>
      <c r="B195" s="12"/>
      <c r="C195" s="12"/>
      <c r="D195" s="12"/>
      <c r="E195" s="12"/>
      <c r="F195" s="113"/>
      <c r="G195" s="113"/>
      <c r="H195" s="113"/>
      <c r="I195" s="113"/>
      <c r="J195" s="113"/>
      <c r="K195" s="113"/>
      <c r="L195" s="172"/>
      <c r="N195" s="12"/>
    </row>
    <row r="196" spans="1:14">
      <c r="A196" s="12"/>
      <c r="B196" s="12"/>
      <c r="C196" s="12"/>
      <c r="D196" s="12"/>
      <c r="E196" s="12"/>
      <c r="F196" s="113"/>
      <c r="G196" s="113"/>
      <c r="H196" s="113"/>
      <c r="I196" s="113"/>
      <c r="J196" s="113"/>
      <c r="K196" s="113"/>
      <c r="L196" s="172"/>
      <c r="N196" s="12"/>
    </row>
    <row r="197" spans="1:14">
      <c r="A197" s="12"/>
      <c r="B197" s="12"/>
      <c r="C197" s="12"/>
      <c r="D197" s="12"/>
      <c r="E197" s="12"/>
      <c r="F197" s="113"/>
      <c r="G197" s="113"/>
      <c r="H197" s="113"/>
      <c r="I197" s="113"/>
      <c r="J197" s="113"/>
      <c r="K197" s="113"/>
      <c r="L197" s="172"/>
      <c r="N197" s="12"/>
    </row>
    <row r="198" spans="1:14">
      <c r="A198" s="12"/>
      <c r="B198" s="12"/>
      <c r="C198" s="12"/>
      <c r="D198" s="12"/>
      <c r="E198" s="12"/>
      <c r="F198" s="113"/>
      <c r="G198" s="113"/>
      <c r="H198" s="113"/>
      <c r="I198" s="113"/>
      <c r="J198" s="113"/>
      <c r="K198" s="113"/>
      <c r="L198" s="172"/>
      <c r="N198" s="12"/>
    </row>
    <row r="199" spans="1:14">
      <c r="A199" s="12"/>
      <c r="B199" s="12"/>
      <c r="C199" s="12"/>
      <c r="D199" s="12"/>
      <c r="E199" s="12"/>
      <c r="F199" s="113"/>
      <c r="G199" s="113"/>
      <c r="H199" s="113"/>
      <c r="I199" s="113"/>
      <c r="J199" s="113"/>
      <c r="K199" s="113"/>
      <c r="L199" s="172"/>
      <c r="N199" s="12"/>
    </row>
    <row r="200" spans="1:14">
      <c r="A200" s="12"/>
      <c r="B200" s="12"/>
      <c r="C200" s="12"/>
      <c r="D200" s="12"/>
      <c r="E200" s="12"/>
      <c r="F200" s="113"/>
      <c r="G200" s="113"/>
      <c r="H200" s="113"/>
      <c r="I200" s="113"/>
      <c r="J200" s="113"/>
      <c r="K200" s="113"/>
      <c r="L200" s="172"/>
      <c r="N200" s="12"/>
    </row>
    <row r="201" spans="1:14">
      <c r="A201" s="12"/>
      <c r="B201" s="12"/>
      <c r="C201" s="12"/>
      <c r="D201" s="12"/>
      <c r="E201" s="12"/>
      <c r="F201" s="113"/>
      <c r="G201" s="113"/>
      <c r="H201" s="113"/>
      <c r="I201" s="113"/>
      <c r="J201" s="113"/>
      <c r="K201" s="113"/>
      <c r="L201" s="172"/>
      <c r="N201" s="12"/>
    </row>
    <row r="202" spans="1:14">
      <c r="A202" s="12"/>
      <c r="B202" s="12"/>
      <c r="C202" s="12"/>
      <c r="D202" s="12"/>
      <c r="E202" s="12"/>
      <c r="F202" s="113"/>
      <c r="G202" s="113"/>
      <c r="H202" s="113"/>
      <c r="I202" s="113"/>
      <c r="J202" s="113"/>
      <c r="K202" s="113"/>
      <c r="L202" s="172"/>
      <c r="N202" s="12"/>
    </row>
    <row r="203" spans="1:14">
      <c r="A203" s="12"/>
      <c r="B203" s="12"/>
      <c r="C203" s="12"/>
      <c r="D203" s="12"/>
      <c r="E203" s="12"/>
      <c r="F203" s="113"/>
      <c r="G203" s="113"/>
      <c r="H203" s="113"/>
      <c r="I203" s="113"/>
      <c r="J203" s="113"/>
      <c r="K203" s="113"/>
      <c r="L203" s="172"/>
      <c r="N203" s="12"/>
    </row>
    <row r="204" spans="1:14">
      <c r="A204" s="12"/>
      <c r="B204" s="12"/>
      <c r="C204" s="12"/>
      <c r="D204" s="12"/>
      <c r="E204" s="12"/>
      <c r="F204" s="113"/>
      <c r="G204" s="113"/>
      <c r="H204" s="113"/>
      <c r="I204" s="113"/>
      <c r="J204" s="113"/>
      <c r="K204" s="113"/>
      <c r="L204" s="172"/>
      <c r="N204" s="12"/>
    </row>
    <row r="205" spans="1:14">
      <c r="A205" s="12"/>
      <c r="B205" s="12"/>
      <c r="C205" s="12"/>
      <c r="D205" s="12"/>
      <c r="E205" s="12"/>
      <c r="F205" s="113"/>
      <c r="G205" s="113"/>
      <c r="H205" s="113"/>
      <c r="I205" s="113"/>
      <c r="J205" s="113"/>
      <c r="K205" s="113"/>
      <c r="L205" s="172"/>
      <c r="N205" s="12"/>
    </row>
    <row r="206" spans="1:14">
      <c r="A206" s="12"/>
      <c r="B206" s="12"/>
      <c r="C206" s="12"/>
      <c r="D206" s="12"/>
      <c r="E206" s="12"/>
      <c r="F206" s="113"/>
      <c r="G206" s="113"/>
      <c r="H206" s="113"/>
      <c r="I206" s="113"/>
      <c r="J206" s="113"/>
      <c r="K206" s="113"/>
      <c r="L206" s="172"/>
      <c r="N206" s="12"/>
    </row>
    <row r="207" spans="1:14">
      <c r="A207" s="12"/>
      <c r="B207" s="12"/>
      <c r="C207" s="12"/>
      <c r="D207" s="12"/>
      <c r="E207" s="12"/>
      <c r="F207" s="113"/>
      <c r="G207" s="113"/>
      <c r="H207" s="113"/>
      <c r="I207" s="113"/>
      <c r="J207" s="113"/>
      <c r="K207" s="113"/>
      <c r="L207" s="172"/>
      <c r="N207" s="12"/>
    </row>
    <row r="208" spans="1:14">
      <c r="A208" s="12"/>
      <c r="B208" s="12"/>
      <c r="C208" s="12"/>
      <c r="D208" s="12"/>
      <c r="E208" s="12"/>
      <c r="F208" s="113"/>
      <c r="G208" s="113"/>
      <c r="H208" s="113"/>
      <c r="I208" s="113"/>
      <c r="J208" s="113"/>
      <c r="K208" s="113"/>
      <c r="L208" s="172"/>
      <c r="N208" s="12"/>
    </row>
    <row r="209" spans="1:14">
      <c r="A209" s="12"/>
      <c r="B209" s="12"/>
      <c r="C209" s="12"/>
      <c r="D209" s="12"/>
      <c r="E209" s="12"/>
      <c r="F209" s="113"/>
      <c r="G209" s="113"/>
      <c r="H209" s="113"/>
      <c r="I209" s="113"/>
      <c r="J209" s="113"/>
      <c r="K209" s="113"/>
      <c r="L209" s="172"/>
      <c r="N209" s="12"/>
    </row>
    <row r="210" spans="1:14">
      <c r="A210" s="12"/>
      <c r="B210" s="12"/>
      <c r="C210" s="12"/>
      <c r="D210" s="12"/>
      <c r="E210" s="12"/>
      <c r="F210" s="113"/>
      <c r="G210" s="113"/>
      <c r="H210" s="113"/>
      <c r="I210" s="113"/>
      <c r="J210" s="113"/>
      <c r="K210" s="113"/>
      <c r="L210" s="172"/>
      <c r="N210" s="12"/>
    </row>
    <row r="211" spans="1:14">
      <c r="A211" s="12"/>
      <c r="B211" s="12"/>
      <c r="C211" s="12"/>
      <c r="D211" s="12"/>
      <c r="E211" s="12"/>
      <c r="F211" s="113"/>
      <c r="G211" s="113"/>
      <c r="H211" s="113"/>
      <c r="I211" s="113"/>
      <c r="J211" s="113"/>
      <c r="K211" s="113"/>
      <c r="L211" s="172"/>
      <c r="N211" s="12"/>
    </row>
    <row r="212" spans="1:14">
      <c r="A212" s="12"/>
      <c r="B212" s="12"/>
      <c r="C212" s="12"/>
      <c r="D212" s="12"/>
      <c r="E212" s="12"/>
      <c r="F212" s="113"/>
      <c r="G212" s="113"/>
      <c r="H212" s="113"/>
      <c r="I212" s="113"/>
      <c r="J212" s="113"/>
      <c r="K212" s="113"/>
      <c r="L212" s="172"/>
      <c r="N212" s="12"/>
    </row>
    <row r="213" spans="1:14">
      <c r="A213" s="12"/>
      <c r="B213" s="12"/>
      <c r="C213" s="12"/>
      <c r="D213" s="12"/>
      <c r="E213" s="12"/>
      <c r="F213" s="113"/>
      <c r="G213" s="113"/>
      <c r="H213" s="113"/>
      <c r="I213" s="113"/>
      <c r="J213" s="113"/>
      <c r="K213" s="113"/>
      <c r="L213" s="172"/>
      <c r="N213" s="12"/>
    </row>
    <row r="214" spans="1:14">
      <c r="A214" s="12"/>
      <c r="B214" s="12"/>
      <c r="C214" s="12"/>
      <c r="D214" s="12"/>
      <c r="E214" s="12"/>
      <c r="F214" s="113"/>
      <c r="G214" s="113"/>
      <c r="H214" s="113"/>
      <c r="I214" s="113"/>
      <c r="J214" s="113"/>
      <c r="K214" s="113"/>
      <c r="L214" s="172"/>
      <c r="N214" s="12"/>
    </row>
    <row r="215" spans="1:14">
      <c r="A215" s="12"/>
      <c r="B215" s="12"/>
      <c r="C215" s="12"/>
      <c r="D215" s="12"/>
      <c r="E215" s="12"/>
      <c r="F215" s="113"/>
      <c r="G215" s="113"/>
      <c r="H215" s="113"/>
      <c r="I215" s="113"/>
      <c r="J215" s="113"/>
      <c r="K215" s="113"/>
      <c r="L215" s="172"/>
      <c r="N215" s="12"/>
    </row>
    <row r="216" spans="1:14">
      <c r="A216" s="12"/>
      <c r="B216" s="12"/>
      <c r="C216" s="12"/>
      <c r="D216" s="12"/>
      <c r="E216" s="12"/>
      <c r="F216" s="113"/>
      <c r="G216" s="113"/>
      <c r="H216" s="113"/>
      <c r="I216" s="113"/>
      <c r="J216" s="113"/>
      <c r="K216" s="113"/>
      <c r="L216" s="172"/>
      <c r="N216" s="12"/>
    </row>
    <row r="217" spans="1:14">
      <c r="A217" s="12"/>
      <c r="B217" s="12"/>
      <c r="C217" s="12"/>
      <c r="D217" s="12"/>
      <c r="E217" s="12"/>
      <c r="F217" s="113"/>
      <c r="G217" s="113"/>
      <c r="H217" s="113"/>
      <c r="I217" s="113"/>
      <c r="J217" s="113"/>
      <c r="K217" s="113"/>
      <c r="L217" s="172"/>
      <c r="N217" s="12"/>
    </row>
    <row r="218" spans="1:14">
      <c r="A218" s="12"/>
      <c r="B218" s="12"/>
      <c r="C218" s="12"/>
      <c r="D218" s="12"/>
      <c r="E218" s="12"/>
      <c r="F218" s="113"/>
      <c r="G218" s="113"/>
      <c r="H218" s="113"/>
      <c r="I218" s="113"/>
      <c r="J218" s="113"/>
      <c r="K218" s="113"/>
      <c r="L218" s="172"/>
      <c r="N218" s="12"/>
    </row>
    <row r="219" spans="1:14">
      <c r="A219" s="12"/>
      <c r="B219" s="12"/>
      <c r="C219" s="12"/>
      <c r="D219" s="12"/>
      <c r="E219" s="12"/>
      <c r="F219" s="113"/>
      <c r="G219" s="113"/>
      <c r="H219" s="113"/>
      <c r="I219" s="113"/>
      <c r="J219" s="113"/>
      <c r="K219" s="113"/>
      <c r="L219" s="172"/>
      <c r="N219" s="12"/>
    </row>
    <row r="220" spans="1:14">
      <c r="A220" s="12"/>
      <c r="B220" s="12"/>
      <c r="C220" s="12"/>
      <c r="D220" s="12"/>
      <c r="E220" s="12"/>
      <c r="F220" s="113"/>
      <c r="G220" s="113"/>
      <c r="H220" s="113"/>
      <c r="I220" s="113"/>
      <c r="J220" s="113"/>
      <c r="K220" s="113"/>
      <c r="L220" s="172"/>
      <c r="N220" s="12"/>
    </row>
    <row r="221" spans="1:14">
      <c r="A221" s="12"/>
      <c r="B221" s="12"/>
      <c r="C221" s="12"/>
      <c r="D221" s="12"/>
      <c r="E221" s="12"/>
      <c r="F221" s="113"/>
      <c r="G221" s="113"/>
      <c r="H221" s="113"/>
      <c r="I221" s="113"/>
      <c r="J221" s="113"/>
      <c r="K221" s="113"/>
      <c r="L221" s="172"/>
      <c r="N221" s="12"/>
    </row>
    <row r="222" spans="1:14">
      <c r="A222" s="12"/>
      <c r="B222" s="12"/>
      <c r="C222" s="12"/>
      <c r="D222" s="12"/>
      <c r="E222" s="12"/>
      <c r="F222" s="113"/>
      <c r="G222" s="113"/>
      <c r="H222" s="113"/>
      <c r="I222" s="113"/>
      <c r="J222" s="113"/>
      <c r="K222" s="113"/>
      <c r="L222" s="172"/>
      <c r="N222" s="12"/>
    </row>
    <row r="223" spans="1:14">
      <c r="A223" s="12"/>
      <c r="B223" s="12"/>
      <c r="C223" s="12"/>
      <c r="D223" s="12"/>
      <c r="E223" s="12"/>
      <c r="F223" s="113"/>
      <c r="G223" s="113"/>
      <c r="H223" s="113"/>
      <c r="I223" s="113"/>
      <c r="J223" s="113"/>
      <c r="K223" s="113"/>
      <c r="L223" s="172"/>
      <c r="N223" s="12"/>
    </row>
    <row r="224" spans="1:14">
      <c r="A224" s="12"/>
      <c r="B224" s="12"/>
      <c r="C224" s="12"/>
      <c r="D224" s="12"/>
      <c r="E224" s="12"/>
      <c r="F224" s="113"/>
      <c r="G224" s="113"/>
      <c r="H224" s="113"/>
      <c r="I224" s="113"/>
      <c r="J224" s="113"/>
      <c r="K224" s="113"/>
      <c r="L224" s="172"/>
      <c r="N224" s="12"/>
    </row>
    <row r="225" spans="1:14">
      <c r="A225" s="12"/>
      <c r="B225" s="12"/>
      <c r="C225" s="12"/>
      <c r="D225" s="12"/>
      <c r="E225" s="12"/>
      <c r="F225" s="113"/>
      <c r="G225" s="113"/>
      <c r="H225" s="113"/>
      <c r="I225" s="113"/>
      <c r="J225" s="113"/>
      <c r="K225" s="113"/>
      <c r="L225" s="172"/>
      <c r="N225" s="12"/>
    </row>
    <row r="226" spans="1:14">
      <c r="A226" s="12"/>
      <c r="B226" s="12"/>
      <c r="C226" s="12"/>
      <c r="D226" s="12"/>
      <c r="E226" s="12"/>
      <c r="F226" s="113"/>
      <c r="G226" s="113"/>
      <c r="H226" s="113"/>
      <c r="I226" s="113"/>
      <c r="J226" s="113"/>
      <c r="K226" s="113"/>
      <c r="L226" s="172"/>
      <c r="N226" s="12"/>
    </row>
    <row r="227" spans="1:14">
      <c r="A227" s="12"/>
      <c r="B227" s="12"/>
      <c r="C227" s="12"/>
      <c r="D227" s="12"/>
      <c r="E227" s="12"/>
      <c r="F227" s="113"/>
      <c r="G227" s="113"/>
      <c r="H227" s="113"/>
      <c r="I227" s="113"/>
      <c r="J227" s="113"/>
      <c r="K227" s="113"/>
      <c r="L227" s="172"/>
      <c r="N227" s="12"/>
    </row>
    <row r="228" spans="1:14">
      <c r="A228" s="12"/>
      <c r="B228" s="12"/>
      <c r="C228" s="12"/>
      <c r="D228" s="12"/>
      <c r="E228" s="12"/>
      <c r="F228" s="113"/>
      <c r="G228" s="113"/>
      <c r="H228" s="113"/>
      <c r="I228" s="113"/>
      <c r="J228" s="113"/>
      <c r="K228" s="113"/>
      <c r="L228" s="172"/>
      <c r="N228" s="12"/>
    </row>
    <row r="229" spans="1:14">
      <c r="A229" s="12"/>
      <c r="B229" s="12"/>
      <c r="C229" s="12"/>
      <c r="D229" s="12"/>
      <c r="E229" s="12"/>
      <c r="F229" s="113"/>
      <c r="G229" s="113"/>
      <c r="H229" s="113"/>
      <c r="I229" s="113"/>
      <c r="J229" s="113"/>
      <c r="K229" s="113"/>
      <c r="L229" s="172"/>
      <c r="N229" s="12"/>
    </row>
    <row r="230" spans="1:14">
      <c r="A230" s="12"/>
      <c r="B230" s="12"/>
      <c r="C230" s="12"/>
      <c r="D230" s="12"/>
      <c r="E230" s="12"/>
      <c r="F230" s="113"/>
      <c r="G230" s="113"/>
      <c r="H230" s="113"/>
      <c r="I230" s="113"/>
      <c r="J230" s="113"/>
      <c r="K230" s="113"/>
      <c r="L230" s="172"/>
      <c r="N230" s="12"/>
    </row>
    <row r="231" spans="1:14">
      <c r="A231" s="12"/>
      <c r="B231" s="12"/>
      <c r="C231" s="12"/>
      <c r="D231" s="12"/>
      <c r="E231" s="12"/>
      <c r="F231" s="113"/>
      <c r="G231" s="113"/>
      <c r="H231" s="113"/>
      <c r="I231" s="113"/>
      <c r="J231" s="113"/>
      <c r="K231" s="113"/>
      <c r="L231" s="172"/>
      <c r="N231" s="12"/>
    </row>
    <row r="232" spans="1:14">
      <c r="A232" s="12"/>
      <c r="B232" s="12"/>
      <c r="C232" s="12"/>
      <c r="D232" s="12"/>
      <c r="E232" s="12"/>
      <c r="F232" s="113"/>
      <c r="G232" s="113"/>
      <c r="H232" s="113"/>
      <c r="I232" s="113"/>
      <c r="J232" s="113"/>
      <c r="K232" s="113"/>
      <c r="L232" s="172"/>
      <c r="N232" s="12"/>
    </row>
    <row r="233" spans="1:14">
      <c r="A233" s="12"/>
      <c r="B233" s="12"/>
      <c r="C233" s="12"/>
      <c r="D233" s="12"/>
      <c r="E233" s="12"/>
      <c r="F233" s="113"/>
      <c r="G233" s="113"/>
      <c r="H233" s="113"/>
      <c r="I233" s="113"/>
      <c r="J233" s="113"/>
      <c r="K233" s="113"/>
      <c r="L233" s="172"/>
      <c r="N233" s="12"/>
    </row>
    <row r="234" spans="1:14">
      <c r="A234" s="12"/>
      <c r="B234" s="12"/>
      <c r="C234" s="12"/>
      <c r="D234" s="12"/>
      <c r="E234" s="12"/>
      <c r="F234" s="113"/>
      <c r="G234" s="113"/>
      <c r="H234" s="113"/>
      <c r="I234" s="113"/>
      <c r="J234" s="113"/>
      <c r="K234" s="113"/>
      <c r="L234" s="172"/>
      <c r="N234" s="12"/>
    </row>
    <row r="235" spans="1:14">
      <c r="A235" s="12"/>
      <c r="B235" s="12"/>
      <c r="C235" s="12"/>
      <c r="D235" s="12"/>
      <c r="E235" s="12"/>
      <c r="F235" s="113"/>
      <c r="G235" s="113"/>
      <c r="H235" s="113"/>
      <c r="I235" s="113"/>
      <c r="J235" s="113"/>
      <c r="K235" s="113"/>
      <c r="L235" s="172"/>
      <c r="N235" s="12"/>
    </row>
    <row r="236" spans="1:14">
      <c r="A236" s="12"/>
      <c r="B236" s="12"/>
      <c r="C236" s="12"/>
      <c r="D236" s="12"/>
      <c r="E236" s="12"/>
      <c r="F236" s="113"/>
      <c r="G236" s="113"/>
      <c r="H236" s="113"/>
      <c r="I236" s="113"/>
      <c r="J236" s="113"/>
      <c r="K236" s="113"/>
      <c r="L236" s="172"/>
      <c r="N236" s="12"/>
    </row>
    <row r="237" spans="1:14">
      <c r="A237" s="12"/>
      <c r="B237" s="12"/>
      <c r="C237" s="12"/>
      <c r="D237" s="12"/>
      <c r="E237" s="12"/>
      <c r="F237" s="113"/>
      <c r="G237" s="113"/>
      <c r="H237" s="113"/>
      <c r="I237" s="113"/>
      <c r="J237" s="113"/>
      <c r="K237" s="113"/>
      <c r="L237" s="172"/>
      <c r="N237" s="12"/>
    </row>
    <row r="238" spans="1:14">
      <c r="A238" s="12"/>
      <c r="B238" s="12"/>
      <c r="C238" s="12"/>
      <c r="D238" s="12"/>
      <c r="E238" s="12"/>
      <c r="F238" s="113"/>
      <c r="G238" s="113"/>
      <c r="H238" s="113"/>
      <c r="I238" s="113"/>
      <c r="J238" s="113"/>
      <c r="K238" s="113"/>
      <c r="L238" s="172"/>
      <c r="N238" s="12"/>
    </row>
    <row r="239" spans="1:14">
      <c r="A239" s="12"/>
      <c r="B239" s="12"/>
      <c r="C239" s="12"/>
      <c r="D239" s="12"/>
      <c r="E239" s="12"/>
      <c r="F239" s="113"/>
      <c r="G239" s="113"/>
      <c r="H239" s="113"/>
      <c r="I239" s="113"/>
      <c r="J239" s="113"/>
      <c r="K239" s="113"/>
      <c r="L239" s="172"/>
      <c r="N239" s="12"/>
    </row>
    <row r="240" spans="1:14">
      <c r="A240" s="12"/>
      <c r="B240" s="12"/>
      <c r="C240" s="12"/>
      <c r="D240" s="12"/>
      <c r="E240" s="12"/>
      <c r="F240" s="113"/>
      <c r="G240" s="113"/>
      <c r="H240" s="113"/>
      <c r="I240" s="113"/>
      <c r="J240" s="113"/>
      <c r="K240" s="113"/>
      <c r="L240" s="172"/>
      <c r="N240" s="12"/>
    </row>
    <row r="241" spans="1:14">
      <c r="A241" s="12"/>
      <c r="B241" s="12"/>
      <c r="C241" s="12"/>
      <c r="D241" s="12"/>
      <c r="E241" s="12"/>
      <c r="F241" s="113"/>
      <c r="G241" s="113"/>
      <c r="H241" s="113"/>
      <c r="I241" s="113"/>
      <c r="J241" s="113"/>
      <c r="K241" s="113"/>
      <c r="L241" s="172"/>
      <c r="N241" s="12"/>
    </row>
    <row r="242" spans="1:14">
      <c r="A242" s="12"/>
      <c r="B242" s="12"/>
      <c r="C242" s="12"/>
      <c r="D242" s="12"/>
      <c r="E242" s="12"/>
      <c r="F242" s="113"/>
      <c r="G242" s="113"/>
      <c r="H242" s="113"/>
      <c r="I242" s="113"/>
      <c r="J242" s="113"/>
      <c r="K242" s="113"/>
      <c r="L242" s="172"/>
      <c r="N242" s="12"/>
    </row>
    <row r="243" spans="1:14">
      <c r="A243" s="12"/>
      <c r="B243" s="12"/>
      <c r="C243" s="12"/>
      <c r="D243" s="12"/>
      <c r="E243" s="12"/>
      <c r="F243" s="113"/>
      <c r="G243" s="113"/>
      <c r="H243" s="113"/>
      <c r="I243" s="113"/>
      <c r="J243" s="113"/>
      <c r="K243" s="113"/>
      <c r="L243" s="172"/>
      <c r="N243" s="12"/>
    </row>
    <row r="244" spans="1:14">
      <c r="A244" s="12"/>
      <c r="B244" s="12"/>
      <c r="C244" s="12"/>
      <c r="D244" s="12"/>
      <c r="E244" s="12"/>
      <c r="F244" s="113"/>
      <c r="G244" s="113"/>
      <c r="H244" s="113"/>
      <c r="I244" s="113"/>
      <c r="J244" s="113"/>
      <c r="K244" s="113"/>
      <c r="L244" s="172"/>
      <c r="N244" s="12"/>
    </row>
    <row r="245" spans="1:14">
      <c r="A245" s="12"/>
      <c r="B245" s="12"/>
      <c r="C245" s="12"/>
      <c r="D245" s="12"/>
      <c r="E245" s="12"/>
      <c r="F245" s="113"/>
      <c r="G245" s="113"/>
      <c r="H245" s="113"/>
      <c r="I245" s="113"/>
      <c r="J245" s="113"/>
      <c r="K245" s="113"/>
      <c r="L245" s="172"/>
      <c r="N245" s="12"/>
    </row>
    <row r="246" spans="1:14">
      <c r="A246" s="12"/>
      <c r="B246" s="12"/>
      <c r="C246" s="12"/>
      <c r="D246" s="12"/>
      <c r="E246" s="12"/>
      <c r="F246" s="113"/>
      <c r="G246" s="113"/>
      <c r="H246" s="113"/>
      <c r="I246" s="113"/>
      <c r="J246" s="113"/>
      <c r="K246" s="113"/>
      <c r="L246" s="172"/>
      <c r="N246" s="12"/>
    </row>
    <row r="247" spans="1:14">
      <c r="A247" s="12"/>
      <c r="B247" s="12"/>
      <c r="C247" s="12"/>
      <c r="D247" s="12"/>
      <c r="E247" s="12"/>
      <c r="F247" s="113"/>
      <c r="G247" s="113"/>
      <c r="H247" s="113"/>
      <c r="I247" s="113"/>
      <c r="J247" s="113"/>
      <c r="K247" s="113"/>
      <c r="L247" s="172"/>
      <c r="N247" s="12"/>
    </row>
    <row r="248" spans="1:14">
      <c r="A248" s="12"/>
      <c r="B248" s="12"/>
      <c r="C248" s="12"/>
      <c r="D248" s="12"/>
      <c r="E248" s="12"/>
      <c r="F248" s="113"/>
      <c r="G248" s="113"/>
      <c r="H248" s="113"/>
      <c r="I248" s="113"/>
      <c r="J248" s="113"/>
      <c r="K248" s="113"/>
      <c r="L248" s="172"/>
      <c r="N248" s="12"/>
    </row>
    <row r="249" spans="1:14">
      <c r="A249" s="12"/>
      <c r="B249" s="12"/>
      <c r="C249" s="12"/>
      <c r="D249" s="12"/>
      <c r="E249" s="12"/>
      <c r="F249" s="113"/>
      <c r="G249" s="113"/>
      <c r="H249" s="113"/>
      <c r="I249" s="113"/>
      <c r="J249" s="113"/>
      <c r="K249" s="113"/>
      <c r="L249" s="172"/>
      <c r="N249" s="12"/>
    </row>
    <row r="250" spans="1:14">
      <c r="A250" s="12"/>
      <c r="B250" s="12"/>
      <c r="C250" s="12"/>
      <c r="D250" s="12"/>
      <c r="E250" s="12"/>
      <c r="F250" s="113"/>
      <c r="G250" s="113"/>
      <c r="H250" s="113"/>
      <c r="I250" s="113"/>
      <c r="J250" s="113"/>
      <c r="K250" s="113"/>
      <c r="L250" s="172"/>
      <c r="N250" s="12"/>
    </row>
    <row r="251" spans="1:14">
      <c r="A251" s="12"/>
      <c r="B251" s="12"/>
      <c r="C251" s="12"/>
      <c r="D251" s="12"/>
      <c r="E251" s="12"/>
      <c r="F251" s="113"/>
      <c r="G251" s="113"/>
      <c r="H251" s="113"/>
      <c r="I251" s="113"/>
      <c r="J251" s="113"/>
      <c r="K251" s="113"/>
      <c r="L251" s="172"/>
      <c r="N251" s="12"/>
    </row>
    <row r="252" spans="1:14">
      <c r="A252" s="12"/>
      <c r="B252" s="12"/>
      <c r="C252" s="12"/>
      <c r="D252" s="12"/>
      <c r="E252" s="12"/>
      <c r="F252" s="113"/>
      <c r="G252" s="113"/>
      <c r="H252" s="113"/>
      <c r="I252" s="113"/>
      <c r="J252" s="113"/>
      <c r="K252" s="113"/>
      <c r="L252" s="172"/>
      <c r="N252" s="12"/>
    </row>
    <row r="253" spans="1:14">
      <c r="A253" s="12"/>
      <c r="B253" s="12"/>
      <c r="C253" s="12"/>
      <c r="D253" s="12"/>
      <c r="E253" s="12"/>
      <c r="F253" s="113"/>
      <c r="G253" s="113"/>
      <c r="H253" s="113"/>
      <c r="I253" s="113"/>
      <c r="J253" s="113"/>
      <c r="K253" s="113"/>
      <c r="L253" s="172"/>
      <c r="N253" s="12"/>
    </row>
    <row r="254" spans="1:14">
      <c r="A254" s="12"/>
      <c r="B254" s="12"/>
      <c r="C254" s="12"/>
      <c r="D254" s="12"/>
      <c r="E254" s="12"/>
      <c r="F254" s="113"/>
      <c r="G254" s="113"/>
      <c r="H254" s="113"/>
      <c r="I254" s="113"/>
      <c r="J254" s="113"/>
      <c r="K254" s="113"/>
      <c r="L254" s="172"/>
      <c r="N254" s="12"/>
    </row>
    <row r="255" spans="1:14">
      <c r="A255" s="12"/>
      <c r="B255" s="12"/>
      <c r="C255" s="12"/>
      <c r="D255" s="12"/>
      <c r="E255" s="12"/>
      <c r="F255" s="113"/>
      <c r="G255" s="113"/>
      <c r="H255" s="113"/>
      <c r="I255" s="113"/>
      <c r="J255" s="113"/>
      <c r="K255" s="113"/>
      <c r="L255" s="172"/>
      <c r="N255" s="12"/>
    </row>
    <row r="256" spans="1:14">
      <c r="A256" s="12"/>
      <c r="B256" s="12"/>
      <c r="C256" s="12"/>
      <c r="D256" s="12"/>
      <c r="E256" s="12"/>
      <c r="F256" s="113"/>
      <c r="G256" s="113"/>
      <c r="H256" s="113"/>
      <c r="I256" s="113"/>
      <c r="J256" s="113"/>
      <c r="K256" s="113"/>
      <c r="L256" s="172"/>
      <c r="N256" s="12"/>
    </row>
    <row r="257" spans="1:14">
      <c r="A257" s="12"/>
      <c r="B257" s="12"/>
      <c r="C257" s="12"/>
      <c r="D257" s="12"/>
      <c r="E257" s="12"/>
      <c r="F257" s="113"/>
      <c r="G257" s="113"/>
      <c r="H257" s="113"/>
      <c r="I257" s="113"/>
      <c r="J257" s="113"/>
      <c r="K257" s="113"/>
      <c r="L257" s="172"/>
      <c r="N257" s="12"/>
    </row>
    <row r="258" spans="1:14">
      <c r="A258" s="12"/>
      <c r="B258" s="12"/>
      <c r="C258" s="12"/>
      <c r="D258" s="12"/>
      <c r="E258" s="12"/>
      <c r="F258" s="113"/>
      <c r="G258" s="113"/>
      <c r="H258" s="113"/>
      <c r="I258" s="113"/>
      <c r="J258" s="113"/>
      <c r="K258" s="113"/>
      <c r="L258" s="172"/>
      <c r="N258" s="12"/>
    </row>
    <row r="259" spans="1:14">
      <c r="A259" s="12"/>
      <c r="B259" s="12"/>
      <c r="C259" s="12"/>
      <c r="D259" s="12"/>
      <c r="E259" s="12"/>
      <c r="F259" s="113"/>
      <c r="G259" s="113"/>
      <c r="H259" s="113"/>
      <c r="I259" s="113"/>
      <c r="J259" s="113"/>
      <c r="K259" s="113"/>
      <c r="L259" s="172"/>
      <c r="N259" s="12"/>
    </row>
    <row r="260" spans="1:14">
      <c r="A260" s="12"/>
      <c r="B260" s="12"/>
      <c r="C260" s="12"/>
      <c r="D260" s="12"/>
      <c r="E260" s="12"/>
      <c r="F260" s="113"/>
      <c r="G260" s="113"/>
      <c r="H260" s="113"/>
      <c r="I260" s="113"/>
      <c r="J260" s="113"/>
      <c r="K260" s="113"/>
      <c r="L260" s="172"/>
      <c r="N260" s="12"/>
    </row>
    <row r="261" spans="1:14">
      <c r="A261" s="12"/>
      <c r="B261" s="12"/>
      <c r="C261" s="12"/>
      <c r="D261" s="12"/>
      <c r="E261" s="12"/>
      <c r="F261" s="113"/>
      <c r="G261" s="113"/>
      <c r="H261" s="113"/>
      <c r="I261" s="113"/>
      <c r="J261" s="113"/>
      <c r="K261" s="113"/>
      <c r="L261" s="172"/>
      <c r="N261" s="12"/>
    </row>
    <row r="262" spans="1:14">
      <c r="A262" s="12"/>
      <c r="B262" s="12"/>
      <c r="C262" s="12"/>
      <c r="D262" s="12"/>
      <c r="E262" s="12"/>
      <c r="F262" s="113"/>
      <c r="G262" s="113"/>
      <c r="H262" s="113"/>
      <c r="I262" s="113"/>
      <c r="J262" s="113"/>
      <c r="K262" s="113"/>
      <c r="L262" s="172"/>
      <c r="N262" s="12"/>
    </row>
    <row r="263" spans="1:14">
      <c r="A263" s="12"/>
      <c r="B263" s="12"/>
      <c r="C263" s="12"/>
      <c r="D263" s="12"/>
      <c r="E263" s="12"/>
      <c r="F263" s="113"/>
      <c r="G263" s="113"/>
      <c r="H263" s="113"/>
      <c r="I263" s="113"/>
      <c r="J263" s="113"/>
      <c r="K263" s="113"/>
      <c r="L263" s="172"/>
      <c r="N263" s="12"/>
    </row>
    <row r="264" spans="1:14">
      <c r="A264" s="12"/>
      <c r="B264" s="12"/>
      <c r="C264" s="12"/>
      <c r="D264" s="12"/>
      <c r="E264" s="12"/>
      <c r="F264" s="113"/>
      <c r="G264" s="113"/>
      <c r="H264" s="113"/>
      <c r="I264" s="113"/>
      <c r="J264" s="113"/>
      <c r="K264" s="113"/>
      <c r="L264" s="172"/>
      <c r="N264" s="12"/>
    </row>
    <row r="265" spans="1:14">
      <c r="A265" s="12"/>
      <c r="B265" s="12"/>
      <c r="C265" s="12"/>
      <c r="D265" s="12"/>
      <c r="E265" s="12"/>
      <c r="F265" s="113"/>
      <c r="G265" s="113"/>
      <c r="H265" s="113"/>
      <c r="I265" s="113"/>
      <c r="J265" s="113"/>
      <c r="K265" s="113"/>
      <c r="L265" s="172"/>
      <c r="N265" s="12"/>
    </row>
    <row r="266" spans="1:14">
      <c r="A266" s="12"/>
      <c r="B266" s="12"/>
      <c r="C266" s="12"/>
      <c r="D266" s="12"/>
      <c r="E266" s="12"/>
      <c r="F266" s="113"/>
      <c r="G266" s="113"/>
      <c r="H266" s="113"/>
      <c r="I266" s="113"/>
      <c r="J266" s="113"/>
      <c r="K266" s="113"/>
      <c r="L266" s="172"/>
      <c r="N266" s="12"/>
    </row>
    <row r="267" spans="1:14">
      <c r="A267" s="12"/>
      <c r="B267" s="12"/>
      <c r="C267" s="12"/>
      <c r="D267" s="12"/>
      <c r="E267" s="12"/>
      <c r="F267" s="113"/>
      <c r="G267" s="113"/>
      <c r="H267" s="113"/>
      <c r="I267" s="113"/>
      <c r="J267" s="113"/>
      <c r="K267" s="113"/>
      <c r="L267" s="172"/>
      <c r="N267" s="12"/>
    </row>
    <row r="268" spans="1:14">
      <c r="A268" s="12"/>
      <c r="B268" s="12"/>
      <c r="C268" s="12"/>
      <c r="D268" s="12"/>
      <c r="E268" s="12"/>
      <c r="F268" s="113"/>
      <c r="G268" s="113"/>
      <c r="H268" s="113"/>
      <c r="I268" s="113"/>
      <c r="J268" s="113"/>
      <c r="K268" s="113"/>
      <c r="L268" s="172"/>
      <c r="N268" s="12"/>
    </row>
    <row r="269" spans="1:14">
      <c r="A269" s="12"/>
      <c r="B269" s="12"/>
      <c r="C269" s="12"/>
      <c r="D269" s="12"/>
      <c r="E269" s="12"/>
      <c r="F269" s="113"/>
      <c r="G269" s="113"/>
      <c r="H269" s="113"/>
      <c r="I269" s="113"/>
      <c r="J269" s="113"/>
      <c r="K269" s="113"/>
      <c r="L269" s="172"/>
      <c r="N269" s="12"/>
    </row>
    <row r="270" spans="1:14">
      <c r="A270" s="12"/>
      <c r="B270" s="12"/>
      <c r="C270" s="12"/>
      <c r="D270" s="12"/>
      <c r="E270" s="12"/>
      <c r="F270" s="113"/>
      <c r="G270" s="113"/>
      <c r="H270" s="113"/>
      <c r="I270" s="113"/>
      <c r="J270" s="113"/>
      <c r="K270" s="113"/>
      <c r="L270" s="172"/>
      <c r="N270" s="12"/>
    </row>
    <row r="271" spans="1:14">
      <c r="A271" s="12"/>
      <c r="B271" s="12"/>
      <c r="C271" s="12"/>
      <c r="D271" s="12"/>
      <c r="E271" s="12"/>
      <c r="F271" s="113"/>
      <c r="G271" s="113"/>
      <c r="H271" s="113"/>
      <c r="I271" s="113"/>
      <c r="J271" s="113"/>
      <c r="K271" s="113"/>
      <c r="L271" s="172"/>
      <c r="N271" s="12"/>
    </row>
    <row r="272" spans="1:14">
      <c r="A272" s="12"/>
      <c r="B272" s="12"/>
      <c r="C272" s="12"/>
      <c r="D272" s="12"/>
      <c r="E272" s="12"/>
      <c r="F272" s="113"/>
      <c r="G272" s="113"/>
      <c r="H272" s="113"/>
      <c r="I272" s="113"/>
      <c r="J272" s="113"/>
      <c r="K272" s="113"/>
      <c r="L272" s="172"/>
      <c r="N272" s="12"/>
    </row>
    <row r="273" spans="1:14">
      <c r="A273" s="12"/>
      <c r="B273" s="12"/>
      <c r="C273" s="12"/>
      <c r="D273" s="12"/>
      <c r="E273" s="12"/>
      <c r="F273" s="113"/>
      <c r="G273" s="113"/>
      <c r="H273" s="113"/>
      <c r="I273" s="113"/>
      <c r="J273" s="113"/>
      <c r="K273" s="113"/>
      <c r="L273" s="172"/>
      <c r="N273" s="12"/>
    </row>
    <row r="274" spans="1:14">
      <c r="A274" s="12"/>
      <c r="B274" s="12"/>
      <c r="C274" s="12"/>
      <c r="D274" s="12"/>
      <c r="E274" s="12"/>
      <c r="F274" s="113"/>
      <c r="G274" s="113"/>
      <c r="H274" s="113"/>
      <c r="I274" s="113"/>
      <c r="J274" s="113"/>
      <c r="K274" s="113"/>
      <c r="L274" s="172"/>
      <c r="N274" s="12"/>
    </row>
    <row r="275" spans="1:14">
      <c r="A275" s="12"/>
      <c r="B275" s="12"/>
      <c r="C275" s="12"/>
      <c r="D275" s="12"/>
      <c r="E275" s="12"/>
      <c r="F275" s="113"/>
      <c r="G275" s="113"/>
      <c r="H275" s="113"/>
      <c r="I275" s="113"/>
      <c r="J275" s="113"/>
      <c r="K275" s="113"/>
      <c r="L275" s="172"/>
      <c r="N275" s="12"/>
    </row>
    <row r="276" spans="1:14">
      <c r="A276" s="12"/>
      <c r="B276" s="12"/>
      <c r="C276" s="12"/>
      <c r="D276" s="12"/>
      <c r="E276" s="12"/>
      <c r="F276" s="113"/>
      <c r="G276" s="113"/>
      <c r="H276" s="113"/>
      <c r="I276" s="113"/>
      <c r="J276" s="113"/>
      <c r="K276" s="113"/>
      <c r="L276" s="172"/>
      <c r="N276" s="12"/>
    </row>
    <row r="277" spans="1:14">
      <c r="A277" s="12"/>
      <c r="B277" s="12"/>
      <c r="C277" s="12"/>
      <c r="D277" s="12"/>
      <c r="E277" s="12"/>
      <c r="F277" s="113"/>
      <c r="G277" s="113"/>
      <c r="H277" s="113"/>
      <c r="I277" s="113"/>
      <c r="J277" s="113"/>
      <c r="K277" s="113"/>
      <c r="L277" s="172"/>
      <c r="N277" s="12"/>
    </row>
    <row r="278" spans="1:14">
      <c r="A278" s="12"/>
      <c r="B278" s="12"/>
      <c r="C278" s="12"/>
      <c r="D278" s="12"/>
      <c r="E278" s="12"/>
      <c r="F278" s="113"/>
      <c r="G278" s="113"/>
      <c r="H278" s="113"/>
      <c r="I278" s="113"/>
      <c r="J278" s="113"/>
      <c r="K278" s="113"/>
      <c r="L278" s="172"/>
      <c r="N278" s="12"/>
    </row>
    <row r="279" spans="1:14">
      <c r="A279" s="12"/>
      <c r="B279" s="12"/>
      <c r="C279" s="12"/>
      <c r="D279" s="12"/>
      <c r="E279" s="12"/>
      <c r="F279" s="113"/>
      <c r="G279" s="113"/>
      <c r="H279" s="113"/>
      <c r="I279" s="113"/>
      <c r="J279" s="113"/>
      <c r="K279" s="113"/>
      <c r="L279" s="172"/>
      <c r="N279" s="12"/>
    </row>
    <row r="280" spans="1:14">
      <c r="A280" s="12"/>
      <c r="B280" s="12"/>
      <c r="C280" s="12"/>
      <c r="D280" s="12"/>
      <c r="E280" s="12"/>
      <c r="F280" s="113"/>
      <c r="G280" s="113"/>
      <c r="H280" s="113"/>
      <c r="I280" s="113"/>
      <c r="J280" s="113"/>
      <c r="K280" s="113"/>
      <c r="L280" s="172"/>
      <c r="N280" s="12"/>
    </row>
    <row r="281" spans="1:14">
      <c r="A281" s="12"/>
      <c r="B281" s="12"/>
      <c r="C281" s="12"/>
      <c r="D281" s="12"/>
      <c r="E281" s="12"/>
      <c r="F281" s="113"/>
      <c r="G281" s="113"/>
      <c r="H281" s="113"/>
      <c r="I281" s="113"/>
      <c r="J281" s="113"/>
      <c r="K281" s="113"/>
      <c r="L281" s="172"/>
      <c r="N281" s="12"/>
    </row>
    <row r="282" spans="1:14">
      <c r="A282" s="12"/>
      <c r="B282" s="12"/>
      <c r="C282" s="12"/>
      <c r="D282" s="12"/>
      <c r="E282" s="12"/>
      <c r="F282" s="113"/>
      <c r="G282" s="113"/>
      <c r="H282" s="113"/>
      <c r="I282" s="113"/>
      <c r="J282" s="113"/>
      <c r="K282" s="113"/>
      <c r="L282" s="172"/>
      <c r="N282" s="12"/>
    </row>
    <row r="283" spans="1:14">
      <c r="A283" s="12"/>
      <c r="B283" s="12"/>
      <c r="C283" s="12"/>
      <c r="D283" s="12"/>
      <c r="E283" s="12"/>
      <c r="F283" s="113"/>
      <c r="G283" s="113"/>
      <c r="H283" s="113"/>
      <c r="I283" s="113"/>
      <c r="J283" s="113"/>
      <c r="K283" s="113"/>
      <c r="L283" s="172"/>
      <c r="N283" s="12"/>
    </row>
    <row r="284" spans="1:14">
      <c r="A284" s="12"/>
      <c r="B284" s="12"/>
      <c r="C284" s="12"/>
      <c r="D284" s="12"/>
      <c r="E284" s="12"/>
      <c r="F284" s="113"/>
      <c r="G284" s="113"/>
      <c r="H284" s="113"/>
      <c r="I284" s="113"/>
      <c r="J284" s="113"/>
      <c r="K284" s="113"/>
      <c r="L284" s="172"/>
      <c r="N284" s="12"/>
    </row>
    <row r="285" spans="1:14">
      <c r="A285" s="12"/>
      <c r="B285" s="12"/>
      <c r="C285" s="12"/>
      <c r="D285" s="12"/>
      <c r="E285" s="12"/>
      <c r="F285" s="113"/>
      <c r="G285" s="113"/>
      <c r="H285" s="113"/>
      <c r="I285" s="113"/>
      <c r="J285" s="113"/>
      <c r="K285" s="113"/>
      <c r="L285" s="172"/>
      <c r="N285" s="12"/>
    </row>
    <row r="286" spans="1:14">
      <c r="A286" s="12"/>
      <c r="B286" s="12"/>
      <c r="C286" s="12"/>
      <c r="D286" s="12"/>
      <c r="E286" s="12"/>
      <c r="F286" s="113"/>
      <c r="G286" s="113"/>
      <c r="H286" s="113"/>
      <c r="I286" s="113"/>
      <c r="J286" s="113"/>
      <c r="K286" s="113"/>
      <c r="L286" s="172"/>
      <c r="N286" s="12"/>
    </row>
    <row r="287" spans="1:14">
      <c r="A287" s="12"/>
      <c r="B287" s="12"/>
      <c r="C287" s="12"/>
      <c r="D287" s="12"/>
      <c r="E287" s="12"/>
      <c r="F287" s="113"/>
      <c r="G287" s="113"/>
      <c r="H287" s="113"/>
      <c r="I287" s="113"/>
      <c r="J287" s="113"/>
      <c r="K287" s="113"/>
      <c r="L287" s="172"/>
      <c r="N287" s="12"/>
    </row>
    <row r="288" spans="1:14">
      <c r="A288" s="12"/>
      <c r="B288" s="12"/>
      <c r="C288" s="12"/>
      <c r="D288" s="12"/>
      <c r="E288" s="12"/>
      <c r="F288" s="113"/>
      <c r="G288" s="113"/>
      <c r="H288" s="113"/>
      <c r="I288" s="113"/>
      <c r="J288" s="113"/>
      <c r="K288" s="113"/>
      <c r="L288" s="172"/>
      <c r="N288" s="12"/>
    </row>
    <row r="289" spans="1:14">
      <c r="A289" s="12"/>
      <c r="B289" s="12"/>
      <c r="C289" s="12"/>
      <c r="D289" s="12"/>
      <c r="E289" s="12"/>
      <c r="F289" s="113"/>
      <c r="G289" s="113"/>
      <c r="H289" s="113"/>
      <c r="I289" s="113"/>
      <c r="J289" s="113"/>
      <c r="K289" s="113"/>
      <c r="L289" s="172"/>
      <c r="N289" s="12"/>
    </row>
    <row r="290" spans="1:14">
      <c r="A290" s="12"/>
      <c r="B290" s="12"/>
      <c r="C290" s="12"/>
      <c r="D290" s="12"/>
      <c r="E290" s="12"/>
      <c r="F290" s="113"/>
      <c r="G290" s="113"/>
      <c r="H290" s="113"/>
      <c r="I290" s="113"/>
      <c r="J290" s="113"/>
      <c r="K290" s="113"/>
      <c r="L290" s="172"/>
      <c r="N290" s="12"/>
    </row>
    <row r="291" spans="1:14">
      <c r="A291" s="12"/>
      <c r="B291" s="12"/>
      <c r="C291" s="12"/>
      <c r="D291" s="12"/>
      <c r="E291" s="12"/>
      <c r="F291" s="113"/>
      <c r="G291" s="113"/>
      <c r="H291" s="113"/>
      <c r="I291" s="113"/>
      <c r="J291" s="113"/>
      <c r="K291" s="113"/>
      <c r="L291" s="172"/>
      <c r="N291" s="12"/>
    </row>
    <row r="292" spans="1:14">
      <c r="A292" s="12"/>
      <c r="B292" s="12"/>
      <c r="C292" s="12"/>
      <c r="D292" s="12"/>
      <c r="E292" s="12"/>
      <c r="F292" s="113"/>
      <c r="G292" s="113"/>
      <c r="H292" s="113"/>
      <c r="I292" s="113"/>
      <c r="J292" s="113"/>
      <c r="K292" s="113"/>
      <c r="L292" s="172"/>
      <c r="N292" s="12"/>
    </row>
    <row r="293" spans="1:14">
      <c r="A293" s="12"/>
      <c r="B293" s="12"/>
      <c r="C293" s="12"/>
      <c r="D293" s="12"/>
      <c r="E293" s="12"/>
      <c r="F293" s="113"/>
      <c r="G293" s="113"/>
      <c r="H293" s="113"/>
      <c r="I293" s="113"/>
      <c r="J293" s="113"/>
      <c r="K293" s="113"/>
      <c r="L293" s="172"/>
      <c r="N293" s="12"/>
    </row>
    <row r="294" spans="1:14">
      <c r="A294" s="12"/>
      <c r="B294" s="12"/>
      <c r="C294" s="12"/>
      <c r="D294" s="12"/>
      <c r="E294" s="12"/>
      <c r="F294" s="113"/>
      <c r="G294" s="113"/>
      <c r="H294" s="113"/>
      <c r="I294" s="113"/>
      <c r="J294" s="113"/>
      <c r="K294" s="113"/>
      <c r="L294" s="172"/>
      <c r="N294" s="12"/>
    </row>
    <row r="295" spans="1:14">
      <c r="A295" s="12"/>
      <c r="B295" s="12"/>
      <c r="C295" s="12"/>
      <c r="D295" s="12"/>
      <c r="E295" s="12"/>
      <c r="F295" s="113"/>
      <c r="G295" s="113"/>
      <c r="H295" s="113"/>
      <c r="I295" s="113"/>
      <c r="J295" s="113"/>
      <c r="K295" s="113"/>
      <c r="L295" s="172"/>
      <c r="N295" s="12"/>
    </row>
    <row r="296" spans="1:14">
      <c r="A296" s="12"/>
      <c r="B296" s="12"/>
      <c r="C296" s="12"/>
      <c r="D296" s="12"/>
      <c r="E296" s="12"/>
      <c r="F296" s="113"/>
      <c r="G296" s="113"/>
      <c r="H296" s="113"/>
      <c r="I296" s="113"/>
      <c r="J296" s="113"/>
      <c r="K296" s="113"/>
      <c r="L296" s="172"/>
      <c r="N296" s="12"/>
    </row>
    <row r="297" spans="1:14">
      <c r="A297" s="12"/>
      <c r="B297" s="12"/>
      <c r="C297" s="12"/>
      <c r="D297" s="12"/>
      <c r="E297" s="12"/>
      <c r="F297" s="113"/>
      <c r="G297" s="113"/>
      <c r="H297" s="113"/>
      <c r="I297" s="113"/>
      <c r="J297" s="113"/>
      <c r="K297" s="113"/>
      <c r="L297" s="172"/>
      <c r="N297" s="12"/>
    </row>
    <row r="298" spans="1:14">
      <c r="A298" s="12"/>
      <c r="B298" s="12"/>
      <c r="C298" s="12"/>
      <c r="D298" s="12"/>
      <c r="E298" s="12"/>
      <c r="F298" s="113"/>
      <c r="G298" s="113"/>
      <c r="H298" s="113"/>
      <c r="I298" s="113"/>
      <c r="J298" s="113"/>
      <c r="K298" s="113"/>
      <c r="L298" s="172"/>
      <c r="N298" s="12"/>
    </row>
    <row r="299" spans="1:14">
      <c r="A299" s="12"/>
      <c r="B299" s="12"/>
      <c r="C299" s="12"/>
      <c r="D299" s="12"/>
      <c r="E299" s="12"/>
      <c r="F299" s="113"/>
      <c r="G299" s="113"/>
      <c r="H299" s="113"/>
      <c r="I299" s="113"/>
      <c r="J299" s="113"/>
      <c r="K299" s="113"/>
      <c r="L299" s="172"/>
      <c r="N299" s="12"/>
    </row>
    <row r="300" spans="1:14">
      <c r="A300" s="12"/>
      <c r="B300" s="12"/>
      <c r="C300" s="12"/>
      <c r="D300" s="12"/>
      <c r="E300" s="12"/>
      <c r="F300" s="113"/>
      <c r="G300" s="113"/>
      <c r="H300" s="113"/>
      <c r="I300" s="113"/>
      <c r="J300" s="113"/>
      <c r="K300" s="113"/>
      <c r="L300" s="172"/>
      <c r="N300" s="12"/>
    </row>
    <row r="301" spans="1:14">
      <c r="A301" s="12"/>
      <c r="B301" s="12"/>
      <c r="C301" s="12"/>
      <c r="D301" s="12"/>
      <c r="E301" s="12"/>
      <c r="F301" s="113"/>
      <c r="G301" s="113"/>
      <c r="H301" s="113"/>
      <c r="I301" s="113"/>
      <c r="J301" s="113"/>
      <c r="K301" s="113"/>
      <c r="L301" s="172"/>
      <c r="N301" s="12"/>
    </row>
    <row r="302" spans="1:14">
      <c r="A302" s="12"/>
      <c r="B302" s="12"/>
      <c r="C302" s="12"/>
      <c r="D302" s="12"/>
      <c r="E302" s="12"/>
      <c r="F302" s="113"/>
      <c r="G302" s="113"/>
      <c r="H302" s="113"/>
      <c r="I302" s="113"/>
      <c r="J302" s="113"/>
      <c r="K302" s="113"/>
      <c r="L302" s="172"/>
      <c r="N302" s="12"/>
    </row>
    <row r="303" spans="1:14">
      <c r="A303" s="12"/>
      <c r="B303" s="12"/>
      <c r="C303" s="12"/>
      <c r="D303" s="12"/>
      <c r="E303" s="12"/>
      <c r="F303" s="113"/>
      <c r="G303" s="113"/>
      <c r="H303" s="113"/>
      <c r="I303" s="113"/>
      <c r="J303" s="113"/>
      <c r="K303" s="113"/>
      <c r="L303" s="172"/>
      <c r="N303" s="12"/>
    </row>
    <row r="304" spans="1:14">
      <c r="A304" s="12"/>
      <c r="B304" s="12"/>
      <c r="C304" s="12"/>
      <c r="D304" s="12"/>
      <c r="E304" s="12"/>
      <c r="F304" s="113"/>
      <c r="G304" s="113"/>
      <c r="H304" s="113"/>
      <c r="I304" s="113"/>
      <c r="J304" s="113"/>
      <c r="K304" s="113"/>
      <c r="L304" s="172"/>
      <c r="N304" s="12"/>
    </row>
    <row r="305" spans="1:14">
      <c r="A305" s="12"/>
      <c r="B305" s="12"/>
      <c r="C305" s="12"/>
      <c r="D305" s="12"/>
      <c r="E305" s="12"/>
      <c r="F305" s="113"/>
      <c r="G305" s="113"/>
      <c r="H305" s="113"/>
      <c r="I305" s="113"/>
      <c r="J305" s="113"/>
      <c r="K305" s="113"/>
      <c r="L305" s="172"/>
      <c r="N305" s="12"/>
    </row>
    <row r="306" spans="1:14">
      <c r="A306" s="12"/>
      <c r="B306" s="12"/>
      <c r="C306" s="12"/>
      <c r="D306" s="12"/>
      <c r="E306" s="12"/>
      <c r="F306" s="113"/>
      <c r="G306" s="113"/>
      <c r="H306" s="113"/>
      <c r="I306" s="113"/>
      <c r="J306" s="113"/>
      <c r="K306" s="113"/>
      <c r="L306" s="172"/>
      <c r="N306" s="12"/>
    </row>
    <row r="307" spans="1:14">
      <c r="A307" s="12"/>
      <c r="B307" s="12"/>
      <c r="C307" s="12"/>
      <c r="D307" s="12"/>
      <c r="E307" s="12"/>
      <c r="F307" s="113"/>
      <c r="G307" s="113"/>
      <c r="H307" s="113"/>
      <c r="I307" s="113"/>
      <c r="J307" s="113"/>
      <c r="K307" s="113"/>
      <c r="L307" s="172"/>
      <c r="N307" s="12"/>
    </row>
    <row r="308" spans="1:14">
      <c r="A308" s="12"/>
      <c r="B308" s="12"/>
      <c r="C308" s="12"/>
      <c r="D308" s="12"/>
      <c r="E308" s="12"/>
      <c r="F308" s="113"/>
      <c r="G308" s="113"/>
      <c r="H308" s="113"/>
      <c r="I308" s="113"/>
      <c r="J308" s="113"/>
      <c r="K308" s="113"/>
      <c r="L308" s="172"/>
      <c r="N308" s="12"/>
    </row>
    <row r="309" spans="1:14">
      <c r="A309" s="12"/>
      <c r="B309" s="12"/>
      <c r="C309" s="12"/>
      <c r="D309" s="12"/>
      <c r="E309" s="12"/>
      <c r="F309" s="113"/>
      <c r="G309" s="113"/>
      <c r="H309" s="113"/>
      <c r="I309" s="113"/>
      <c r="J309" s="113"/>
      <c r="K309" s="113"/>
      <c r="L309" s="172"/>
      <c r="N309" s="12"/>
    </row>
    <row r="310" spans="1:14">
      <c r="A310" s="12"/>
      <c r="B310" s="12"/>
      <c r="C310" s="12"/>
      <c r="D310" s="12"/>
      <c r="E310" s="12"/>
      <c r="F310" s="113"/>
      <c r="G310" s="113"/>
      <c r="H310" s="113"/>
      <c r="I310" s="113"/>
      <c r="J310" s="113"/>
      <c r="K310" s="113"/>
      <c r="L310" s="172"/>
      <c r="N310" s="12"/>
    </row>
    <row r="311" spans="1:14">
      <c r="A311" s="12"/>
      <c r="B311" s="12"/>
      <c r="C311" s="12"/>
      <c r="D311" s="12"/>
      <c r="E311" s="12"/>
      <c r="F311" s="113"/>
      <c r="G311" s="113"/>
      <c r="H311" s="113"/>
      <c r="I311" s="113"/>
      <c r="J311" s="113"/>
      <c r="K311" s="113"/>
      <c r="L311" s="172"/>
      <c r="N311" s="12"/>
    </row>
    <row r="312" spans="1:14">
      <c r="A312" s="12"/>
      <c r="B312" s="12"/>
      <c r="C312" s="12"/>
      <c r="D312" s="12"/>
      <c r="E312" s="12"/>
      <c r="F312" s="113"/>
      <c r="G312" s="113"/>
      <c r="H312" s="113"/>
      <c r="I312" s="113"/>
      <c r="J312" s="113"/>
      <c r="K312" s="113"/>
      <c r="L312" s="172"/>
      <c r="N312" s="12"/>
    </row>
    <row r="313" spans="1:14">
      <c r="A313" s="12"/>
      <c r="B313" s="12"/>
      <c r="C313" s="12"/>
      <c r="D313" s="12"/>
      <c r="E313" s="12"/>
      <c r="F313" s="113"/>
      <c r="G313" s="113"/>
      <c r="H313" s="113"/>
      <c r="I313" s="113"/>
      <c r="J313" s="113"/>
      <c r="K313" s="113"/>
      <c r="L313" s="172"/>
      <c r="N313" s="12"/>
    </row>
    <row r="314" spans="1:14">
      <c r="A314" s="12"/>
      <c r="B314" s="12"/>
      <c r="C314" s="12"/>
      <c r="D314" s="12"/>
      <c r="E314" s="12"/>
      <c r="F314" s="113"/>
      <c r="G314" s="113"/>
      <c r="H314" s="113"/>
      <c r="I314" s="113"/>
      <c r="J314" s="113"/>
      <c r="K314" s="113"/>
      <c r="L314" s="172"/>
      <c r="N314" s="12"/>
    </row>
    <row r="315" spans="1:14">
      <c r="A315" s="12"/>
      <c r="B315" s="12"/>
      <c r="C315" s="12"/>
      <c r="D315" s="12"/>
      <c r="E315" s="12"/>
      <c r="F315" s="113"/>
      <c r="G315" s="113"/>
      <c r="H315" s="113"/>
      <c r="I315" s="113"/>
      <c r="J315" s="113"/>
      <c r="K315" s="113"/>
      <c r="L315" s="172"/>
      <c r="N315" s="12"/>
    </row>
    <row r="316" spans="1:14">
      <c r="A316" s="12"/>
      <c r="B316" s="12"/>
      <c r="C316" s="12"/>
      <c r="D316" s="12"/>
      <c r="E316" s="12"/>
      <c r="F316" s="113"/>
      <c r="G316" s="113"/>
      <c r="H316" s="113"/>
      <c r="I316" s="113"/>
      <c r="J316" s="113"/>
      <c r="K316" s="113"/>
      <c r="L316" s="172"/>
      <c r="N316" s="12"/>
    </row>
    <row r="317" spans="1:14">
      <c r="A317" s="12"/>
      <c r="B317" s="12"/>
      <c r="C317" s="12"/>
      <c r="D317" s="12"/>
      <c r="E317" s="12"/>
      <c r="F317" s="113"/>
      <c r="G317" s="113"/>
      <c r="H317" s="113"/>
      <c r="I317" s="113"/>
      <c r="J317" s="113"/>
      <c r="K317" s="113"/>
      <c r="L317" s="172"/>
      <c r="N317" s="12"/>
    </row>
    <row r="318" spans="1:14">
      <c r="A318" s="12"/>
      <c r="B318" s="12"/>
      <c r="C318" s="12"/>
      <c r="D318" s="12"/>
      <c r="E318" s="12"/>
      <c r="F318" s="113"/>
      <c r="G318" s="113"/>
      <c r="H318" s="113"/>
      <c r="I318" s="113"/>
      <c r="J318" s="113"/>
      <c r="K318" s="113"/>
      <c r="L318" s="172"/>
      <c r="N318" s="12"/>
    </row>
    <row r="319" spans="1:14">
      <c r="A319" s="12"/>
      <c r="B319" s="12"/>
      <c r="C319" s="12"/>
      <c r="D319" s="12"/>
      <c r="E319" s="12"/>
      <c r="F319" s="113"/>
      <c r="G319" s="113"/>
      <c r="H319" s="113"/>
      <c r="I319" s="113"/>
      <c r="J319" s="113"/>
      <c r="K319" s="113"/>
      <c r="L319" s="172"/>
      <c r="N319" s="12"/>
    </row>
    <row r="320" spans="1:14">
      <c r="A320" s="12"/>
      <c r="B320" s="12"/>
      <c r="C320" s="12"/>
      <c r="D320" s="12"/>
      <c r="E320" s="12"/>
      <c r="F320" s="113"/>
      <c r="G320" s="113"/>
      <c r="H320" s="113"/>
      <c r="I320" s="113"/>
      <c r="J320" s="113"/>
      <c r="K320" s="113"/>
      <c r="L320" s="172"/>
      <c r="N320" s="12"/>
    </row>
    <row r="321" spans="1:14">
      <c r="A321" s="12"/>
      <c r="B321" s="12"/>
      <c r="C321" s="12"/>
      <c r="D321" s="12"/>
      <c r="E321" s="12"/>
      <c r="F321" s="113"/>
      <c r="G321" s="113"/>
      <c r="H321" s="113"/>
      <c r="I321" s="113"/>
      <c r="J321" s="113"/>
      <c r="K321" s="113"/>
      <c r="L321" s="172"/>
      <c r="N321" s="12"/>
    </row>
    <row r="322" spans="1:14">
      <c r="A322" s="12"/>
      <c r="B322" s="12"/>
      <c r="C322" s="12"/>
      <c r="D322" s="12"/>
      <c r="E322" s="12"/>
      <c r="F322" s="113"/>
      <c r="G322" s="113"/>
      <c r="H322" s="113"/>
      <c r="I322" s="113"/>
      <c r="J322" s="113"/>
      <c r="K322" s="113"/>
      <c r="L322" s="172"/>
      <c r="N322" s="12"/>
    </row>
    <row r="323" spans="1:14">
      <c r="A323" s="12"/>
      <c r="B323" s="12"/>
      <c r="C323" s="12"/>
      <c r="D323" s="12"/>
      <c r="E323" s="12"/>
      <c r="F323" s="113"/>
      <c r="G323" s="113"/>
      <c r="H323" s="113"/>
      <c r="I323" s="113"/>
      <c r="J323" s="113"/>
      <c r="K323" s="113"/>
      <c r="L323" s="172"/>
      <c r="N323" s="12"/>
    </row>
    <row r="324" spans="1:14">
      <c r="A324" s="12"/>
      <c r="B324" s="12"/>
      <c r="C324" s="12"/>
      <c r="D324" s="12"/>
      <c r="E324" s="12"/>
      <c r="F324" s="113"/>
      <c r="G324" s="113"/>
      <c r="H324" s="113"/>
      <c r="I324" s="113"/>
      <c r="J324" s="113"/>
      <c r="K324" s="113"/>
      <c r="L324" s="172"/>
      <c r="N324" s="12"/>
    </row>
    <row r="325" spans="1:14">
      <c r="A325" s="12"/>
      <c r="B325" s="12"/>
      <c r="C325" s="12"/>
      <c r="D325" s="12"/>
      <c r="E325" s="12"/>
      <c r="F325" s="113"/>
      <c r="G325" s="113"/>
      <c r="H325" s="113"/>
      <c r="I325" s="113"/>
      <c r="J325" s="113"/>
      <c r="K325" s="113"/>
      <c r="L325" s="172"/>
      <c r="N325" s="12"/>
    </row>
    <row r="326" spans="1:14">
      <c r="A326" s="12"/>
      <c r="B326" s="12"/>
      <c r="C326" s="12"/>
      <c r="D326" s="12"/>
      <c r="E326" s="12"/>
      <c r="F326" s="113"/>
      <c r="G326" s="113"/>
      <c r="H326" s="113"/>
      <c r="I326" s="113"/>
      <c r="J326" s="113"/>
      <c r="K326" s="113"/>
      <c r="L326" s="172"/>
      <c r="N326" s="12"/>
    </row>
    <row r="327" spans="1:14">
      <c r="A327" s="12"/>
      <c r="B327" s="12"/>
      <c r="C327" s="12"/>
      <c r="D327" s="12"/>
      <c r="E327" s="12"/>
      <c r="F327" s="113"/>
      <c r="G327" s="113"/>
      <c r="H327" s="113"/>
      <c r="I327" s="113"/>
      <c r="J327" s="113"/>
      <c r="K327" s="113"/>
      <c r="L327" s="172"/>
      <c r="N327" s="12"/>
    </row>
    <row r="328" spans="1:14">
      <c r="A328" s="12"/>
      <c r="B328" s="12"/>
      <c r="C328" s="12"/>
      <c r="D328" s="12"/>
      <c r="E328" s="12"/>
      <c r="F328" s="113"/>
      <c r="G328" s="113"/>
      <c r="H328" s="113"/>
      <c r="I328" s="113"/>
      <c r="J328" s="113"/>
      <c r="K328" s="113"/>
      <c r="L328" s="172"/>
      <c r="N328" s="12"/>
    </row>
    <row r="329" spans="1:14">
      <c r="A329" s="12"/>
      <c r="B329" s="12"/>
      <c r="C329" s="12"/>
      <c r="D329" s="12"/>
      <c r="E329" s="12"/>
      <c r="F329" s="113"/>
      <c r="G329" s="113"/>
      <c r="H329" s="113"/>
      <c r="I329" s="113"/>
      <c r="J329" s="113"/>
      <c r="K329" s="113"/>
      <c r="L329" s="172"/>
      <c r="N329" s="12"/>
    </row>
    <row r="330" spans="1:14">
      <c r="A330" s="12"/>
      <c r="B330" s="12"/>
      <c r="C330" s="12"/>
      <c r="D330" s="12"/>
      <c r="E330" s="12"/>
      <c r="F330" s="113"/>
      <c r="G330" s="113"/>
      <c r="H330" s="113"/>
      <c r="I330" s="113"/>
      <c r="J330" s="113"/>
      <c r="K330" s="113"/>
      <c r="L330" s="172"/>
      <c r="N330" s="12"/>
    </row>
    <row r="331" spans="1:14">
      <c r="A331" s="12"/>
      <c r="B331" s="12"/>
      <c r="C331" s="12"/>
      <c r="D331" s="12"/>
      <c r="E331" s="12"/>
      <c r="F331" s="113"/>
      <c r="G331" s="113"/>
      <c r="H331" s="113"/>
      <c r="I331" s="113"/>
      <c r="J331" s="113"/>
      <c r="K331" s="113"/>
      <c r="L331" s="172"/>
      <c r="N331" s="12"/>
    </row>
    <row r="332" spans="1:14">
      <c r="A332" s="12"/>
      <c r="B332" s="12"/>
      <c r="C332" s="12"/>
      <c r="D332" s="12"/>
      <c r="E332" s="12"/>
      <c r="F332" s="113"/>
      <c r="G332" s="113"/>
      <c r="H332" s="113"/>
      <c r="I332" s="113"/>
      <c r="J332" s="113"/>
      <c r="K332" s="113"/>
      <c r="L332" s="172"/>
      <c r="N332" s="12"/>
    </row>
    <row r="333" spans="1:14">
      <c r="A333" s="12"/>
      <c r="B333" s="12"/>
      <c r="C333" s="12"/>
      <c r="D333" s="12"/>
      <c r="E333" s="12"/>
      <c r="F333" s="113"/>
      <c r="G333" s="113"/>
      <c r="H333" s="113"/>
      <c r="I333" s="113"/>
      <c r="J333" s="113"/>
      <c r="K333" s="113"/>
      <c r="L333" s="172"/>
      <c r="N333" s="12"/>
    </row>
    <row r="334" spans="1:14">
      <c r="A334" s="12"/>
      <c r="B334" s="12"/>
      <c r="C334" s="12"/>
      <c r="D334" s="12"/>
      <c r="E334" s="12"/>
      <c r="F334" s="113"/>
      <c r="G334" s="113"/>
      <c r="H334" s="113"/>
      <c r="I334" s="113"/>
      <c r="J334" s="113"/>
      <c r="K334" s="113"/>
      <c r="L334" s="172"/>
      <c r="N334" s="12"/>
    </row>
    <row r="335" spans="1:14">
      <c r="A335" s="12"/>
      <c r="B335" s="12"/>
      <c r="C335" s="12"/>
      <c r="D335" s="12"/>
      <c r="E335" s="12"/>
      <c r="F335" s="113"/>
      <c r="G335" s="113"/>
      <c r="H335" s="113"/>
      <c r="I335" s="113"/>
      <c r="J335" s="113"/>
      <c r="K335" s="113"/>
      <c r="L335" s="172"/>
      <c r="N335" s="12"/>
    </row>
    <row r="336" spans="1:14">
      <c r="A336" s="12"/>
      <c r="B336" s="12"/>
      <c r="C336" s="12"/>
      <c r="D336" s="12"/>
      <c r="E336" s="12"/>
      <c r="F336" s="113"/>
      <c r="G336" s="113"/>
      <c r="H336" s="113"/>
      <c r="I336" s="113"/>
      <c r="J336" s="113"/>
      <c r="K336" s="113"/>
      <c r="L336" s="172"/>
      <c r="N336" s="12"/>
    </row>
    <row r="337" spans="1:14">
      <c r="A337" s="12"/>
      <c r="B337" s="12"/>
      <c r="C337" s="12"/>
      <c r="D337" s="12"/>
      <c r="E337" s="12"/>
      <c r="F337" s="113"/>
      <c r="G337" s="113"/>
      <c r="H337" s="113"/>
      <c r="I337" s="113"/>
      <c r="J337" s="113"/>
      <c r="K337" s="113"/>
      <c r="L337" s="172"/>
      <c r="N337" s="12"/>
    </row>
    <row r="338" spans="1:14">
      <c r="A338" s="12"/>
      <c r="B338" s="12"/>
      <c r="C338" s="12"/>
      <c r="D338" s="12"/>
      <c r="E338" s="12"/>
      <c r="F338" s="113"/>
      <c r="G338" s="113"/>
      <c r="H338" s="113"/>
      <c r="I338" s="113"/>
      <c r="J338" s="113"/>
      <c r="K338" s="113"/>
      <c r="L338" s="172"/>
      <c r="N338" s="12"/>
    </row>
    <row r="339" spans="1:14">
      <c r="A339" s="12"/>
      <c r="B339" s="12"/>
      <c r="C339" s="12"/>
      <c r="D339" s="12"/>
      <c r="E339" s="12"/>
      <c r="F339" s="113"/>
      <c r="G339" s="113"/>
      <c r="H339" s="113"/>
      <c r="I339" s="113"/>
      <c r="J339" s="113"/>
      <c r="K339" s="113"/>
      <c r="L339" s="172"/>
      <c r="N339" s="12"/>
    </row>
    <row r="340" spans="1:14">
      <c r="A340" s="12"/>
      <c r="B340" s="12"/>
      <c r="C340" s="12"/>
      <c r="D340" s="12"/>
      <c r="E340" s="12"/>
      <c r="F340" s="113"/>
      <c r="G340" s="113"/>
      <c r="H340" s="113"/>
      <c r="I340" s="113"/>
      <c r="J340" s="113"/>
      <c r="K340" s="113"/>
      <c r="L340" s="172"/>
      <c r="N340" s="12"/>
    </row>
    <row r="341" spans="1:14">
      <c r="A341" s="12"/>
      <c r="B341" s="12"/>
      <c r="C341" s="12"/>
      <c r="D341" s="12"/>
      <c r="E341" s="12"/>
      <c r="F341" s="113"/>
      <c r="G341" s="113"/>
      <c r="H341" s="113"/>
      <c r="I341" s="113"/>
      <c r="J341" s="113"/>
      <c r="K341" s="113"/>
      <c r="L341" s="172"/>
      <c r="N341" s="12"/>
    </row>
    <row r="342" spans="1:14">
      <c r="A342" s="12"/>
      <c r="B342" s="12"/>
      <c r="C342" s="12"/>
      <c r="D342" s="12"/>
      <c r="E342" s="12"/>
      <c r="F342" s="113"/>
      <c r="G342" s="113"/>
      <c r="H342" s="113"/>
      <c r="I342" s="113"/>
      <c r="J342" s="113"/>
      <c r="K342" s="113"/>
      <c r="L342" s="172"/>
      <c r="N342" s="12"/>
    </row>
    <row r="343" spans="1:14">
      <c r="A343" s="12"/>
      <c r="B343" s="12"/>
      <c r="C343" s="12"/>
      <c r="D343" s="12"/>
      <c r="E343" s="12"/>
      <c r="F343" s="113"/>
      <c r="G343" s="113"/>
      <c r="H343" s="113"/>
      <c r="I343" s="113"/>
      <c r="J343" s="113"/>
      <c r="K343" s="113"/>
      <c r="L343" s="172"/>
      <c r="N343" s="12"/>
    </row>
    <row r="344" spans="1:14">
      <c r="A344" s="12"/>
      <c r="B344" s="12"/>
      <c r="C344" s="12"/>
      <c r="D344" s="12"/>
      <c r="E344" s="12"/>
      <c r="F344" s="113"/>
      <c r="G344" s="113"/>
      <c r="H344" s="113"/>
      <c r="I344" s="113"/>
      <c r="J344" s="113"/>
      <c r="K344" s="113"/>
      <c r="L344" s="172"/>
      <c r="N344" s="12"/>
    </row>
    <row r="345" spans="1:14">
      <c r="A345" s="12"/>
      <c r="B345" s="12"/>
      <c r="C345" s="12"/>
      <c r="D345" s="12"/>
      <c r="E345" s="12"/>
      <c r="F345" s="113"/>
      <c r="G345" s="113"/>
      <c r="H345" s="113"/>
      <c r="I345" s="113"/>
      <c r="J345" s="113"/>
      <c r="K345" s="113"/>
      <c r="L345" s="172"/>
      <c r="N345" s="12"/>
    </row>
    <row r="346" spans="1:14">
      <c r="A346" s="12"/>
      <c r="B346" s="12"/>
      <c r="C346" s="12"/>
      <c r="D346" s="12"/>
      <c r="E346" s="12"/>
      <c r="F346" s="113"/>
      <c r="G346" s="113"/>
      <c r="H346" s="113"/>
      <c r="I346" s="113"/>
      <c r="J346" s="113"/>
      <c r="K346" s="113"/>
      <c r="L346" s="172"/>
      <c r="N346" s="12"/>
    </row>
    <row r="347" spans="1:14">
      <c r="A347" s="12"/>
      <c r="B347" s="12"/>
      <c r="C347" s="12"/>
      <c r="D347" s="12"/>
      <c r="E347" s="12"/>
      <c r="F347" s="113"/>
      <c r="G347" s="113"/>
      <c r="H347" s="113"/>
      <c r="I347" s="113"/>
      <c r="J347" s="113"/>
      <c r="K347" s="113"/>
      <c r="L347" s="172"/>
      <c r="N347" s="12"/>
    </row>
    <row r="348" spans="1:14">
      <c r="F348" s="113"/>
      <c r="G348" s="113"/>
      <c r="H348" s="113"/>
      <c r="I348" s="113"/>
      <c r="J348" s="113"/>
      <c r="K348" s="113"/>
      <c r="L348" s="172"/>
      <c r="N348" s="12"/>
    </row>
    <row r="349" spans="1:14">
      <c r="A349" s="27"/>
      <c r="B349" s="114"/>
      <c r="C349" s="14"/>
      <c r="F349" s="110"/>
      <c r="G349" s="110"/>
      <c r="H349" s="62"/>
      <c r="I349" s="62"/>
      <c r="J349" s="110"/>
      <c r="K349" s="110"/>
      <c r="L349" s="172"/>
      <c r="N349" s="12"/>
    </row>
  </sheetData>
  <mergeCells count="14">
    <mergeCell ref="N7:N8"/>
    <mergeCell ref="A1:L1"/>
    <mergeCell ref="A7:A8"/>
    <mergeCell ref="B7:B8"/>
    <mergeCell ref="C7:C8"/>
    <mergeCell ref="F7:G7"/>
    <mergeCell ref="H7:I7"/>
    <mergeCell ref="J7:K7"/>
    <mergeCell ref="L7:L8"/>
    <mergeCell ref="D7:E7"/>
    <mergeCell ref="A6:C6"/>
    <mergeCell ref="G6:J6"/>
    <mergeCell ref="A2:L2"/>
    <mergeCell ref="A4:L4"/>
  </mergeCells>
  <pageMargins left="0.70866141732283472" right="0.23622047244094491" top="0.63" bottom="0.42" header="0.42" footer="0.23622047244094491"/>
  <pageSetup paperSize="9" scale="58" orientation="landscape" r:id="rId1"/>
  <headerFooter>
    <oddHeader>&amp;R&amp;P--&amp;N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tavfurceli</vt:lpstr>
      <vt:lpstr>krebsiti</vt:lpstr>
      <vt:lpstr>#1</vt:lpstr>
      <vt:lpstr>#2</vt:lpstr>
      <vt:lpstr>#3</vt:lpstr>
      <vt:lpstr>#4</vt:lpstr>
      <vt:lpstr>'#1'!Print_Area</vt:lpstr>
      <vt:lpstr>'#2'!Print_Area</vt:lpstr>
      <vt:lpstr>'#3'!Print_Area</vt:lpstr>
      <vt:lpstr>'#4'!Print_Area</vt:lpstr>
      <vt:lpstr>krebsiti!Print_Area</vt:lpstr>
      <vt:lpstr>tavfurceli!Print_Area</vt:lpstr>
      <vt:lpstr>'#1'!Print_Titles</vt:lpstr>
      <vt:lpstr>'#2'!Print_Titles</vt:lpstr>
      <vt:lpstr>'#3'!Print_Titles</vt:lpstr>
      <vt:lpstr>'#4'!Print_Titles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2023-11-17T10:34:24Z</dcterms:modified>
</cp:coreProperties>
</file>