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kbiladze.COURT\Desktop\"/>
    </mc:Choice>
  </mc:AlternateContent>
  <xr:revisionPtr revIDLastSave="0" documentId="8_{9A399BE5-5544-4B57-957E-DAA87473CFDB}" xr6:coauthVersionLast="45" xr6:coauthVersionMax="45" xr10:uidLastSave="{00000000-0000-0000-0000-000000000000}"/>
  <bookViews>
    <workbookView xWindow="-120" yWindow="-120" windowWidth="29040" windowHeight="15840" tabRatio="853" firstSheet="1" activeTab="1" xr2:uid="{00000000-000D-0000-FFFF-FFFF00000000}"/>
  </bookViews>
  <sheets>
    <sheet name="rusTavi I varianti" sheetId="5" state="hidden" r:id="rId1"/>
    <sheet name="xarjtagricxva" sheetId="12" r:id="rId2"/>
  </sheets>
  <definedNames>
    <definedName name="_xlnm._FilterDatabase" localSheetId="0" hidden="1">'rusTavi I varianti'!$A$8:$AB$603</definedName>
    <definedName name="_xlnm._FilterDatabase" localSheetId="1" hidden="1">xarjtagricxva!$A$4:$L$92</definedName>
    <definedName name="_xlnm.Print_Area" localSheetId="0">'rusTavi I varianti'!$A$1:$M$600</definedName>
    <definedName name="_xlnm.Print_Area" localSheetId="1">xarjtagricxva!$A$1:$I$91</definedName>
    <definedName name="_xlnm.Print_Titles" localSheetId="0">'rusTavi I varianti'!$8:$8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2" i="12" l="1"/>
  <c r="F22" i="12"/>
  <c r="I22" i="12" s="1"/>
  <c r="H60" i="12" l="1"/>
  <c r="H58" i="12"/>
  <c r="F58" i="12"/>
  <c r="I58" i="12" s="1"/>
  <c r="H57" i="12"/>
  <c r="F57" i="12"/>
  <c r="I57" i="12" s="1"/>
  <c r="H38" i="12" l="1"/>
  <c r="H37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F60" i="12" l="1"/>
  <c r="I60" i="12" s="1"/>
  <c r="H59" i="12"/>
  <c r="F59" i="12"/>
  <c r="I59" i="12" l="1"/>
  <c r="F9" i="12"/>
  <c r="H55" i="12"/>
  <c r="F55" i="12"/>
  <c r="H54" i="12"/>
  <c r="H53" i="12"/>
  <c r="F53" i="12"/>
  <c r="H52" i="12"/>
  <c r="F52" i="12"/>
  <c r="H51" i="12"/>
  <c r="F51" i="12"/>
  <c r="H50" i="12"/>
  <c r="F50" i="12"/>
  <c r="H49" i="12"/>
  <c r="F49" i="12"/>
  <c r="H48" i="12"/>
  <c r="F48" i="12"/>
  <c r="H47" i="12"/>
  <c r="F47" i="12"/>
  <c r="H46" i="12"/>
  <c r="F46" i="12"/>
  <c r="H45" i="12"/>
  <c r="F45" i="12"/>
  <c r="H44" i="12"/>
  <c r="F44" i="12"/>
  <c r="H43" i="12"/>
  <c r="F43" i="12"/>
  <c r="H42" i="12"/>
  <c r="F42" i="12"/>
  <c r="H41" i="12"/>
  <c r="F41" i="12"/>
  <c r="H40" i="12"/>
  <c r="H39" i="12"/>
  <c r="H35" i="12" l="1"/>
  <c r="F35" i="12"/>
  <c r="H34" i="12"/>
  <c r="F34" i="12"/>
  <c r="I34" i="12" s="1"/>
  <c r="H33" i="12"/>
  <c r="F33" i="12"/>
  <c r="I33" i="12" s="1"/>
  <c r="H24" i="12"/>
  <c r="F24" i="12"/>
  <c r="H23" i="12"/>
  <c r="I23" i="12" s="1"/>
  <c r="H32" i="12"/>
  <c r="F32" i="12"/>
  <c r="I32" i="12" s="1"/>
  <c r="H31" i="12"/>
  <c r="F31" i="12"/>
  <c r="H30" i="12"/>
  <c r="F30" i="12"/>
  <c r="I30" i="12" s="1"/>
  <c r="H28" i="12"/>
  <c r="F28" i="12"/>
  <c r="H27" i="12"/>
  <c r="F27" i="12"/>
  <c r="F6" i="12"/>
  <c r="I35" i="12" l="1"/>
  <c r="I28" i="12"/>
  <c r="I31" i="12"/>
  <c r="I27" i="12"/>
  <c r="I24" i="12"/>
  <c r="H16" i="12"/>
  <c r="H17" i="12"/>
  <c r="H18" i="12"/>
  <c r="H19" i="12"/>
  <c r="H20" i="12"/>
  <c r="H21" i="12"/>
  <c r="H25" i="12"/>
  <c r="F16" i="12"/>
  <c r="F17" i="12"/>
  <c r="I17" i="12" s="1"/>
  <c r="F18" i="12"/>
  <c r="F19" i="12"/>
  <c r="I19" i="12" s="1"/>
  <c r="F20" i="12"/>
  <c r="F21" i="12"/>
  <c r="F25" i="12"/>
  <c r="I25" i="12" l="1"/>
  <c r="I18" i="12"/>
  <c r="I16" i="12"/>
  <c r="I21" i="12"/>
  <c r="I20" i="12"/>
  <c r="H10" i="12"/>
  <c r="H11" i="12"/>
  <c r="H12" i="12"/>
  <c r="H13" i="12"/>
  <c r="H14" i="12"/>
  <c r="H15" i="12"/>
  <c r="F10" i="12"/>
  <c r="F11" i="12"/>
  <c r="F12" i="12"/>
  <c r="I12" i="12" s="1"/>
  <c r="F13" i="12"/>
  <c r="F14" i="12"/>
  <c r="F15" i="12"/>
  <c r="I15" i="12" l="1"/>
  <c r="I11" i="12"/>
  <c r="I10" i="12"/>
  <c r="I14" i="12"/>
  <c r="I13" i="12"/>
  <c r="H6" i="12"/>
  <c r="I6" i="12" s="1"/>
  <c r="H7" i="12"/>
  <c r="H8" i="12"/>
  <c r="H9" i="12"/>
  <c r="I9" i="12" s="1"/>
  <c r="H29" i="12"/>
  <c r="F7" i="12"/>
  <c r="F8" i="12"/>
  <c r="I8" i="12" s="1"/>
  <c r="F29" i="12"/>
  <c r="I7" i="12" l="1"/>
  <c r="I29" i="12"/>
  <c r="H5" i="12"/>
  <c r="I61" i="12" l="1"/>
  <c r="F5" i="12"/>
  <c r="I5" i="12" s="1"/>
  <c r="I62" i="12" l="1"/>
  <c r="I63" i="12" s="1"/>
  <c r="F466" i="5"/>
  <c r="F460" i="5"/>
  <c r="I64" i="12" l="1"/>
  <c r="I65" i="12" s="1"/>
  <c r="F440" i="5"/>
  <c r="F441" i="5" s="1"/>
  <c r="J441" i="5" s="1"/>
  <c r="M441" i="5" s="1"/>
  <c r="F395" i="5"/>
  <c r="F397" i="5" s="1"/>
  <c r="L397" i="5" s="1"/>
  <c r="M397" i="5" s="1"/>
  <c r="F263" i="5"/>
  <c r="F257" i="5"/>
  <c r="F258" i="5" s="1"/>
  <c r="J258" i="5" s="1"/>
  <c r="M258" i="5" s="1"/>
  <c r="F237" i="5"/>
  <c r="F241" i="5" s="1"/>
  <c r="H241" i="5" s="1"/>
  <c r="M241" i="5" s="1"/>
  <c r="F329" i="5"/>
  <c r="F328" i="5"/>
  <c r="H328" i="5" s="1"/>
  <c r="M328" i="5" s="1"/>
  <c r="F159" i="5"/>
  <c r="F162" i="5" s="1"/>
  <c r="H162" i="5" s="1"/>
  <c r="M162" i="5" s="1"/>
  <c r="F74" i="5"/>
  <c r="F75" i="5" s="1"/>
  <c r="J75" i="5" s="1"/>
  <c r="M75" i="5" s="1"/>
  <c r="F44" i="5"/>
  <c r="F46" i="5" s="1"/>
  <c r="L46" i="5" s="1"/>
  <c r="M46" i="5" s="1"/>
  <c r="F32" i="5"/>
  <c r="F35" i="5" s="1"/>
  <c r="H35" i="5" s="1"/>
  <c r="M35" i="5" s="1"/>
  <c r="F20" i="5"/>
  <c r="F21" i="5" s="1"/>
  <c r="J21" i="5" s="1"/>
  <c r="M21" i="5" s="1"/>
  <c r="F10" i="5"/>
  <c r="F15" i="5" s="1"/>
  <c r="H15" i="5" s="1"/>
  <c r="F579" i="5"/>
  <c r="H579" i="5" s="1"/>
  <c r="M579" i="5" s="1"/>
  <c r="F578" i="5"/>
  <c r="H578" i="5" s="1"/>
  <c r="M578" i="5" s="1"/>
  <c r="F577" i="5"/>
  <c r="J577" i="5" s="1"/>
  <c r="M577" i="5" s="1"/>
  <c r="D577" i="5"/>
  <c r="F575" i="5"/>
  <c r="H575" i="5" s="1"/>
  <c r="M575" i="5" s="1"/>
  <c r="F574" i="5"/>
  <c r="H574" i="5" s="1"/>
  <c r="M574" i="5" s="1"/>
  <c r="F573" i="5"/>
  <c r="L573" i="5" s="1"/>
  <c r="M573" i="5" s="1"/>
  <c r="F572" i="5"/>
  <c r="J572" i="5" s="1"/>
  <c r="M572" i="5" s="1"/>
  <c r="D572" i="5"/>
  <c r="F570" i="5"/>
  <c r="H570" i="5" s="1"/>
  <c r="M570" i="5" s="1"/>
  <c r="F569" i="5"/>
  <c r="H569" i="5" s="1"/>
  <c r="M569" i="5" s="1"/>
  <c r="F568" i="5"/>
  <c r="L568" i="5" s="1"/>
  <c r="M568" i="5" s="1"/>
  <c r="F567" i="5"/>
  <c r="J567" i="5" s="1"/>
  <c r="M567" i="5" s="1"/>
  <c r="D567" i="5"/>
  <c r="F565" i="5"/>
  <c r="H565" i="5" s="1"/>
  <c r="M565" i="5" s="1"/>
  <c r="F564" i="5"/>
  <c r="H564" i="5" s="1"/>
  <c r="M564" i="5" s="1"/>
  <c r="F563" i="5"/>
  <c r="J563" i="5" s="1"/>
  <c r="M563" i="5" s="1"/>
  <c r="D563" i="5"/>
  <c r="F561" i="5"/>
  <c r="H561" i="5" s="1"/>
  <c r="M561" i="5" s="1"/>
  <c r="F560" i="5"/>
  <c r="H560" i="5" s="1"/>
  <c r="M560" i="5" s="1"/>
  <c r="F559" i="5"/>
  <c r="L559" i="5" s="1"/>
  <c r="M559" i="5" s="1"/>
  <c r="F558" i="5"/>
  <c r="J558" i="5" s="1"/>
  <c r="M558" i="5" s="1"/>
  <c r="D558" i="5"/>
  <c r="F556" i="5"/>
  <c r="H556" i="5" s="1"/>
  <c r="M556" i="5" s="1"/>
  <c r="F555" i="5"/>
  <c r="H555" i="5" s="1"/>
  <c r="M555" i="5" s="1"/>
  <c r="F554" i="5"/>
  <c r="L554" i="5" s="1"/>
  <c r="M554" i="5" s="1"/>
  <c r="F553" i="5"/>
  <c r="J553" i="5" s="1"/>
  <c r="M553" i="5" s="1"/>
  <c r="D553" i="5"/>
  <c r="F551" i="5"/>
  <c r="H551" i="5" s="1"/>
  <c r="M551" i="5" s="1"/>
  <c r="F550" i="5"/>
  <c r="H550" i="5" s="1"/>
  <c r="M550" i="5" s="1"/>
  <c r="F549" i="5"/>
  <c r="L549" i="5" s="1"/>
  <c r="M549" i="5" s="1"/>
  <c r="F548" i="5"/>
  <c r="J548" i="5" s="1"/>
  <c r="M548" i="5" s="1"/>
  <c r="D548" i="5"/>
  <c r="F546" i="5"/>
  <c r="H546" i="5" s="1"/>
  <c r="M546" i="5" s="1"/>
  <c r="F545" i="5"/>
  <c r="H545" i="5" s="1"/>
  <c r="M545" i="5" s="1"/>
  <c r="F544" i="5"/>
  <c r="L544" i="5" s="1"/>
  <c r="M544" i="5" s="1"/>
  <c r="F543" i="5"/>
  <c r="J543" i="5" s="1"/>
  <c r="M543" i="5" s="1"/>
  <c r="D543" i="5"/>
  <c r="F541" i="5"/>
  <c r="H541" i="5" s="1"/>
  <c r="M541" i="5" s="1"/>
  <c r="F540" i="5"/>
  <c r="H540" i="5" s="1"/>
  <c r="M540" i="5" s="1"/>
  <c r="F539" i="5"/>
  <c r="L539" i="5" s="1"/>
  <c r="M539" i="5" s="1"/>
  <c r="F538" i="5"/>
  <c r="J538" i="5" s="1"/>
  <c r="M538" i="5" s="1"/>
  <c r="D538" i="5"/>
  <c r="F536" i="5"/>
  <c r="H536" i="5" s="1"/>
  <c r="M536" i="5" s="1"/>
  <c r="F535" i="5"/>
  <c r="H535" i="5" s="1"/>
  <c r="M535" i="5" s="1"/>
  <c r="F534" i="5"/>
  <c r="L534" i="5" s="1"/>
  <c r="M534" i="5" s="1"/>
  <c r="F533" i="5"/>
  <c r="J533" i="5" s="1"/>
  <c r="M533" i="5" s="1"/>
  <c r="D533" i="5"/>
  <c r="F531" i="5"/>
  <c r="H531" i="5" s="1"/>
  <c r="M531" i="5" s="1"/>
  <c r="F530" i="5"/>
  <c r="H530" i="5" s="1"/>
  <c r="M530" i="5" s="1"/>
  <c r="F529" i="5"/>
  <c r="L529" i="5" s="1"/>
  <c r="M529" i="5" s="1"/>
  <c r="F528" i="5"/>
  <c r="J528" i="5" s="1"/>
  <c r="M528" i="5" s="1"/>
  <c r="D528" i="5"/>
  <c r="F526" i="5"/>
  <c r="H526" i="5" s="1"/>
  <c r="M526" i="5" s="1"/>
  <c r="F525" i="5"/>
  <c r="H525" i="5" s="1"/>
  <c r="M525" i="5" s="1"/>
  <c r="F524" i="5"/>
  <c r="L524" i="5" s="1"/>
  <c r="M524" i="5" s="1"/>
  <c r="F523" i="5"/>
  <c r="J523" i="5" s="1"/>
  <c r="M523" i="5" s="1"/>
  <c r="D523" i="5"/>
  <c r="F520" i="5"/>
  <c r="H520" i="5" s="1"/>
  <c r="M520" i="5" s="1"/>
  <c r="F519" i="5"/>
  <c r="H519" i="5" s="1"/>
  <c r="M519" i="5" s="1"/>
  <c r="F518" i="5"/>
  <c r="J518" i="5" s="1"/>
  <c r="M518" i="5" s="1"/>
  <c r="D518" i="5"/>
  <c r="F516" i="5"/>
  <c r="H516" i="5" s="1"/>
  <c r="M516" i="5" s="1"/>
  <c r="F515" i="5"/>
  <c r="H515" i="5" s="1"/>
  <c r="M515" i="5" s="1"/>
  <c r="F514" i="5"/>
  <c r="L514" i="5" s="1"/>
  <c r="M514" i="5" s="1"/>
  <c r="F513" i="5"/>
  <c r="J513" i="5" s="1"/>
  <c r="M513" i="5" s="1"/>
  <c r="D513" i="5"/>
  <c r="F510" i="5"/>
  <c r="H510" i="5" s="1"/>
  <c r="M510" i="5" s="1"/>
  <c r="F509" i="5"/>
  <c r="H509" i="5" s="1"/>
  <c r="M509" i="5" s="1"/>
  <c r="F508" i="5"/>
  <c r="L508" i="5" s="1"/>
  <c r="M508" i="5" s="1"/>
  <c r="F507" i="5"/>
  <c r="J507" i="5" s="1"/>
  <c r="M507" i="5" s="1"/>
  <c r="D507" i="5"/>
  <c r="F505" i="5"/>
  <c r="H505" i="5" s="1"/>
  <c r="M505" i="5" s="1"/>
  <c r="F504" i="5"/>
  <c r="H504" i="5" s="1"/>
  <c r="M504" i="5" s="1"/>
  <c r="F503" i="5"/>
  <c r="L503" i="5" s="1"/>
  <c r="M503" i="5" s="1"/>
  <c r="F502" i="5"/>
  <c r="J502" i="5" s="1"/>
  <c r="M502" i="5" s="1"/>
  <c r="D502" i="5"/>
  <c r="F500" i="5"/>
  <c r="H500" i="5" s="1"/>
  <c r="M500" i="5" s="1"/>
  <c r="F499" i="5"/>
  <c r="H499" i="5" s="1"/>
  <c r="M499" i="5" s="1"/>
  <c r="F498" i="5"/>
  <c r="L498" i="5" s="1"/>
  <c r="M498" i="5" s="1"/>
  <c r="F497" i="5"/>
  <c r="J497" i="5" s="1"/>
  <c r="M497" i="5" s="1"/>
  <c r="D497" i="5"/>
  <c r="F495" i="5"/>
  <c r="H495" i="5" s="1"/>
  <c r="M495" i="5" s="1"/>
  <c r="F494" i="5"/>
  <c r="H494" i="5" s="1"/>
  <c r="M494" i="5" s="1"/>
  <c r="F493" i="5"/>
  <c r="L493" i="5" s="1"/>
  <c r="M493" i="5" s="1"/>
  <c r="F492" i="5"/>
  <c r="J492" i="5" s="1"/>
  <c r="M492" i="5" s="1"/>
  <c r="D492" i="5"/>
  <c r="F490" i="5"/>
  <c r="H490" i="5" s="1"/>
  <c r="M490" i="5" s="1"/>
  <c r="F489" i="5"/>
  <c r="H489" i="5" s="1"/>
  <c r="M489" i="5" s="1"/>
  <c r="F488" i="5"/>
  <c r="L488" i="5" s="1"/>
  <c r="M488" i="5" s="1"/>
  <c r="F487" i="5"/>
  <c r="J487" i="5" s="1"/>
  <c r="M487" i="5" s="1"/>
  <c r="D487" i="5"/>
  <c r="F484" i="5"/>
  <c r="H484" i="5" s="1"/>
  <c r="M484" i="5" s="1"/>
  <c r="F483" i="5"/>
  <c r="H483" i="5" s="1"/>
  <c r="M483" i="5" s="1"/>
  <c r="F482" i="5"/>
  <c r="L482" i="5" s="1"/>
  <c r="F481" i="5"/>
  <c r="J481" i="5" s="1"/>
  <c r="M481" i="5" s="1"/>
  <c r="D481" i="5"/>
  <c r="F470" i="5"/>
  <c r="H470" i="5" s="1"/>
  <c r="M470" i="5" s="1"/>
  <c r="F469" i="5"/>
  <c r="H469" i="5" s="1"/>
  <c r="M469" i="5" s="1"/>
  <c r="F468" i="5"/>
  <c r="L468" i="5" s="1"/>
  <c r="M468" i="5" s="1"/>
  <c r="F467" i="5"/>
  <c r="J467" i="5" s="1"/>
  <c r="M467" i="5" s="1"/>
  <c r="F465" i="5"/>
  <c r="H465" i="5" s="1"/>
  <c r="M465" i="5" s="1"/>
  <c r="F464" i="5"/>
  <c r="H464" i="5" s="1"/>
  <c r="M464" i="5" s="1"/>
  <c r="F463" i="5"/>
  <c r="H463" i="5" s="1"/>
  <c r="M463" i="5" s="1"/>
  <c r="F462" i="5"/>
  <c r="L462" i="5" s="1"/>
  <c r="M462" i="5" s="1"/>
  <c r="F461" i="5"/>
  <c r="J461" i="5" s="1"/>
  <c r="M461" i="5" s="1"/>
  <c r="F459" i="5"/>
  <c r="H459" i="5" s="1"/>
  <c r="M459" i="5" s="1"/>
  <c r="F458" i="5"/>
  <c r="H458" i="5" s="1"/>
  <c r="M458" i="5" s="1"/>
  <c r="F457" i="5"/>
  <c r="H457" i="5" s="1"/>
  <c r="M457" i="5" s="1"/>
  <c r="F456" i="5"/>
  <c r="H456" i="5" s="1"/>
  <c r="M456" i="5" s="1"/>
  <c r="F455" i="5"/>
  <c r="H455" i="5" s="1"/>
  <c r="M455" i="5" s="1"/>
  <c r="F454" i="5"/>
  <c r="L454" i="5" s="1"/>
  <c r="M454" i="5" s="1"/>
  <c r="F453" i="5"/>
  <c r="J453" i="5" s="1"/>
  <c r="M453" i="5" s="1"/>
  <c r="F446" i="5"/>
  <c r="F449" i="5" s="1"/>
  <c r="H449" i="5" s="1"/>
  <c r="M449" i="5" s="1"/>
  <c r="F435" i="5"/>
  <c r="F437" i="5" s="1"/>
  <c r="L437" i="5" s="1"/>
  <c r="M437" i="5" s="1"/>
  <c r="F432" i="5"/>
  <c r="F433" i="5" s="1"/>
  <c r="J433" i="5" s="1"/>
  <c r="M433" i="5" s="1"/>
  <c r="F428" i="5"/>
  <c r="F421" i="5"/>
  <c r="F427" i="5" s="1"/>
  <c r="H427" i="5" s="1"/>
  <c r="M427" i="5" s="1"/>
  <c r="F415" i="5"/>
  <c r="F417" i="5" s="1"/>
  <c r="L417" i="5" s="1"/>
  <c r="M417" i="5" s="1"/>
  <c r="E414" i="5"/>
  <c r="F413" i="5"/>
  <c r="E412" i="5"/>
  <c r="F410" i="5"/>
  <c r="F411" i="5" s="1"/>
  <c r="J411" i="5" s="1"/>
  <c r="M411" i="5" s="1"/>
  <c r="F404" i="5"/>
  <c r="F408" i="5" s="1"/>
  <c r="H408" i="5" s="1"/>
  <c r="M408" i="5" s="1"/>
  <c r="F400" i="5"/>
  <c r="H400" i="5" s="1"/>
  <c r="M400" i="5" s="1"/>
  <c r="F401" i="5"/>
  <c r="H401" i="5" s="1"/>
  <c r="M401" i="5" s="1"/>
  <c r="F391" i="5"/>
  <c r="F392" i="5" s="1"/>
  <c r="J392" i="5" s="1"/>
  <c r="M392" i="5" s="1"/>
  <c r="F384" i="5"/>
  <c r="F390" i="5" s="1"/>
  <c r="H390" i="5" s="1"/>
  <c r="M390" i="5" s="1"/>
  <c r="F378" i="5"/>
  <c r="F380" i="5" s="1"/>
  <c r="L380" i="5" s="1"/>
  <c r="M380" i="5" s="1"/>
  <c r="E377" i="5"/>
  <c r="F376" i="5"/>
  <c r="F373" i="5"/>
  <c r="F375" i="5" s="1"/>
  <c r="L375" i="5" s="1"/>
  <c r="M375" i="5" s="1"/>
  <c r="F361" i="5"/>
  <c r="F350" i="5"/>
  <c r="F351" i="5" s="1"/>
  <c r="J351" i="5" s="1"/>
  <c r="M351" i="5" s="1"/>
  <c r="F344" i="5"/>
  <c r="F346" i="5" s="1"/>
  <c r="L346" i="5" s="1"/>
  <c r="M346" i="5" s="1"/>
  <c r="E343" i="5"/>
  <c r="F341" i="5"/>
  <c r="F342" i="5" s="1"/>
  <c r="J342" i="5" s="1"/>
  <c r="M342" i="5" s="1"/>
  <c r="F335" i="5"/>
  <c r="F339" i="5" s="1"/>
  <c r="H339" i="5" s="1"/>
  <c r="M339" i="5" s="1"/>
  <c r="F332" i="5"/>
  <c r="F333" i="5" s="1"/>
  <c r="J333" i="5" s="1"/>
  <c r="M333" i="5" s="1"/>
  <c r="E330" i="5"/>
  <c r="F330" i="5" s="1"/>
  <c r="E327" i="5"/>
  <c r="F327" i="5" s="1"/>
  <c r="E326" i="5"/>
  <c r="F326" i="5" s="1"/>
  <c r="F318" i="5"/>
  <c r="F322" i="5" s="1"/>
  <c r="H322" i="5" s="1"/>
  <c r="M322" i="5" s="1"/>
  <c r="F312" i="5"/>
  <c r="E300" i="5"/>
  <c r="F298" i="5"/>
  <c r="F311" i="5" s="1"/>
  <c r="H311" i="5" s="1"/>
  <c r="M311" i="5" s="1"/>
  <c r="F293" i="5"/>
  <c r="F297" i="5" s="1"/>
  <c r="H297" i="5" s="1"/>
  <c r="M297" i="5" s="1"/>
  <c r="F286" i="5"/>
  <c r="F290" i="5" s="1"/>
  <c r="H290" i="5" s="1"/>
  <c r="M290" i="5" s="1"/>
  <c r="F285" i="5"/>
  <c r="H285" i="5" s="1"/>
  <c r="F284" i="5"/>
  <c r="J284" i="5" s="1"/>
  <c r="M284" i="5" s="1"/>
  <c r="F282" i="5"/>
  <c r="H282" i="5" s="1"/>
  <c r="M282" i="5" s="1"/>
  <c r="F281" i="5"/>
  <c r="H281" i="5" s="1"/>
  <c r="M281" i="5" s="1"/>
  <c r="F280" i="5"/>
  <c r="L280" i="5" s="1"/>
  <c r="M280" i="5" s="1"/>
  <c r="F279" i="5"/>
  <c r="J279" i="5" s="1"/>
  <c r="M279" i="5" s="1"/>
  <c r="E277" i="5"/>
  <c r="F277" i="5" s="1"/>
  <c r="L277" i="5" s="1"/>
  <c r="M277" i="5" s="1"/>
  <c r="F276" i="5"/>
  <c r="J276" i="5" s="1"/>
  <c r="M276" i="5" s="1"/>
  <c r="F270" i="5"/>
  <c r="F272" i="5" s="1"/>
  <c r="L272" i="5" s="1"/>
  <c r="M272" i="5" s="1"/>
  <c r="F266" i="5"/>
  <c r="H266" i="5" s="1"/>
  <c r="M266" i="5" s="1"/>
  <c r="E262" i="5"/>
  <c r="E261" i="5"/>
  <c r="E260" i="5"/>
  <c r="E259" i="5"/>
  <c r="F251" i="5"/>
  <c r="F255" i="5" s="1"/>
  <c r="H255" i="5" s="1"/>
  <c r="M255" i="5" s="1"/>
  <c r="H249" i="5"/>
  <c r="M249" i="5" s="1"/>
  <c r="F243" i="5"/>
  <c r="F245" i="5" s="1"/>
  <c r="L245" i="5" s="1"/>
  <c r="M245" i="5" s="1"/>
  <c r="F238" i="5"/>
  <c r="J238" i="5" s="1"/>
  <c r="M238" i="5" s="1"/>
  <c r="F239" i="5"/>
  <c r="L239" i="5" s="1"/>
  <c r="M239" i="5" s="1"/>
  <c r="F234" i="5"/>
  <c r="F236" i="5" s="1"/>
  <c r="L236" i="5" s="1"/>
  <c r="M236" i="5" s="1"/>
  <c r="F228" i="5"/>
  <c r="F229" i="5" s="1"/>
  <c r="J229" i="5" s="1"/>
  <c r="M229" i="5" s="1"/>
  <c r="F224" i="5"/>
  <c r="F225" i="5" s="1"/>
  <c r="J225" i="5" s="1"/>
  <c r="M225" i="5" s="1"/>
  <c r="H222" i="5"/>
  <c r="M222" i="5" s="1"/>
  <c r="F216" i="5"/>
  <c r="F218" i="5" s="1"/>
  <c r="L218" i="5" s="1"/>
  <c r="M218" i="5" s="1"/>
  <c r="F213" i="5"/>
  <c r="E212" i="5"/>
  <c r="E211" i="5"/>
  <c r="E210" i="5"/>
  <c r="E209" i="5"/>
  <c r="E208" i="5"/>
  <c r="E207" i="5"/>
  <c r="E206" i="5"/>
  <c r="F204" i="5"/>
  <c r="E203" i="5"/>
  <c r="F203" i="5" s="1"/>
  <c r="L203" i="5" s="1"/>
  <c r="M203" i="5" s="1"/>
  <c r="E202" i="5"/>
  <c r="F202" i="5" s="1"/>
  <c r="J202" i="5" s="1"/>
  <c r="M202" i="5" s="1"/>
  <c r="E200" i="5"/>
  <c r="F200" i="5" s="1"/>
  <c r="L200" i="5" s="1"/>
  <c r="M200" i="5" s="1"/>
  <c r="E199" i="5"/>
  <c r="F199" i="5" s="1"/>
  <c r="J199" i="5" s="1"/>
  <c r="M199" i="5" s="1"/>
  <c r="F195" i="5"/>
  <c r="F197" i="5" s="1"/>
  <c r="L197" i="5" s="1"/>
  <c r="M197" i="5" s="1"/>
  <c r="F194" i="5"/>
  <c r="L194" i="5" s="1"/>
  <c r="F193" i="5"/>
  <c r="J193" i="5" s="1"/>
  <c r="E190" i="5"/>
  <c r="E187" i="5"/>
  <c r="E186" i="5"/>
  <c r="F185" i="5"/>
  <c r="F178" i="5"/>
  <c r="F184" i="5" s="1"/>
  <c r="H184" i="5" s="1"/>
  <c r="M184" i="5" s="1"/>
  <c r="F173" i="5"/>
  <c r="F170" i="5"/>
  <c r="F171" i="5" s="1"/>
  <c r="J171" i="5" s="1"/>
  <c r="M171" i="5" s="1"/>
  <c r="F164" i="5"/>
  <c r="F165" i="5" s="1"/>
  <c r="J165" i="5" s="1"/>
  <c r="M165" i="5" s="1"/>
  <c r="F156" i="5"/>
  <c r="F157" i="5" s="1"/>
  <c r="J157" i="5" s="1"/>
  <c r="M157" i="5" s="1"/>
  <c r="F152" i="5"/>
  <c r="F154" i="5" s="1"/>
  <c r="L154" i="5" s="1"/>
  <c r="M154" i="5" s="1"/>
  <c r="H150" i="5"/>
  <c r="M150" i="5" s="1"/>
  <c r="F144" i="5"/>
  <c r="F141" i="5"/>
  <c r="F143" i="5" s="1"/>
  <c r="L143" i="5" s="1"/>
  <c r="M143" i="5" s="1"/>
  <c r="E140" i="5"/>
  <c r="E139" i="5"/>
  <c r="E138" i="5"/>
  <c r="E137" i="5"/>
  <c r="E136" i="5"/>
  <c r="E135" i="5"/>
  <c r="E134" i="5"/>
  <c r="F132" i="5"/>
  <c r="F126" i="5"/>
  <c r="F128" i="5" s="1"/>
  <c r="L128" i="5" s="1"/>
  <c r="M128" i="5" s="1"/>
  <c r="F123" i="5"/>
  <c r="F125" i="5" s="1"/>
  <c r="L125" i="5" s="1"/>
  <c r="M125" i="5" s="1"/>
  <c r="F121" i="5"/>
  <c r="F122" i="5" s="1"/>
  <c r="J122" i="5" s="1"/>
  <c r="M122" i="5" s="1"/>
  <c r="F113" i="5"/>
  <c r="F114" i="5" s="1"/>
  <c r="J114" i="5" s="1"/>
  <c r="M114" i="5" s="1"/>
  <c r="F107" i="5"/>
  <c r="E95" i="5"/>
  <c r="F93" i="5"/>
  <c r="F103" i="5" s="1"/>
  <c r="H103" i="5" s="1"/>
  <c r="M103" i="5" s="1"/>
  <c r="F91" i="5"/>
  <c r="F92" i="5" s="1"/>
  <c r="J92" i="5" s="1"/>
  <c r="M92" i="5" s="1"/>
  <c r="F85" i="5"/>
  <c r="F89" i="5" s="1"/>
  <c r="H89" i="5" s="1"/>
  <c r="M89" i="5" s="1"/>
  <c r="F81" i="5"/>
  <c r="F83" i="5" s="1"/>
  <c r="L83" i="5" s="1"/>
  <c r="M83" i="5" s="1"/>
  <c r="F73" i="5"/>
  <c r="H73" i="5" s="1"/>
  <c r="F72" i="5"/>
  <c r="J72" i="5" s="1"/>
  <c r="M72" i="5" s="1"/>
  <c r="F70" i="5"/>
  <c r="H70" i="5" s="1"/>
  <c r="M70" i="5" s="1"/>
  <c r="F69" i="5"/>
  <c r="H69" i="5" s="1"/>
  <c r="M69" i="5" s="1"/>
  <c r="F68" i="5"/>
  <c r="L68" i="5" s="1"/>
  <c r="M68" i="5" s="1"/>
  <c r="F67" i="5"/>
  <c r="J67" i="5" s="1"/>
  <c r="M67" i="5" s="1"/>
  <c r="E65" i="5"/>
  <c r="F65" i="5" s="1"/>
  <c r="L65" i="5" s="1"/>
  <c r="M65" i="5" s="1"/>
  <c r="F64" i="5"/>
  <c r="J64" i="5" s="1"/>
  <c r="M64" i="5" s="1"/>
  <c r="F60" i="5"/>
  <c r="F62" i="5" s="1"/>
  <c r="L62" i="5" s="1"/>
  <c r="M62" i="5" s="1"/>
  <c r="E59" i="5"/>
  <c r="E58" i="5"/>
  <c r="E57" i="5"/>
  <c r="E56" i="5"/>
  <c r="E55" i="5"/>
  <c r="E54" i="5"/>
  <c r="E53" i="5"/>
  <c r="F51" i="5"/>
  <c r="F40" i="5"/>
  <c r="F43" i="5" s="1"/>
  <c r="H43" i="5" s="1"/>
  <c r="M43" i="5" s="1"/>
  <c r="H38" i="5"/>
  <c r="M38" i="5" s="1"/>
  <c r="F29" i="5"/>
  <c r="F31" i="5" s="1"/>
  <c r="L31" i="5" s="1"/>
  <c r="M31" i="5" s="1"/>
  <c r="E28" i="5"/>
  <c r="E27" i="5"/>
  <c r="E26" i="5"/>
  <c r="E25" i="5"/>
  <c r="E24" i="5"/>
  <c r="E23" i="5"/>
  <c r="E22" i="5"/>
  <c r="I66" i="12" l="1"/>
  <c r="I67" i="12" s="1"/>
  <c r="F261" i="5"/>
  <c r="H261" i="5" s="1"/>
  <c r="M261" i="5" s="1"/>
  <c r="F77" i="5"/>
  <c r="H77" i="5" s="1"/>
  <c r="M77" i="5" s="1"/>
  <c r="F252" i="5"/>
  <c r="J252" i="5" s="1"/>
  <c r="M252" i="5" s="1"/>
  <c r="F319" i="5"/>
  <c r="J319" i="5" s="1"/>
  <c r="M319" i="5" s="1"/>
  <c r="F82" i="5"/>
  <c r="J82" i="5" s="1"/>
  <c r="M82" i="5" s="1"/>
  <c r="F94" i="5"/>
  <c r="J94" i="5" s="1"/>
  <c r="M94" i="5" s="1"/>
  <c r="F179" i="5"/>
  <c r="J179" i="5" s="1"/>
  <c r="M179" i="5" s="1"/>
  <c r="F300" i="5"/>
  <c r="L300" i="5" s="1"/>
  <c r="M300" i="5" s="1"/>
  <c r="F439" i="5"/>
  <c r="H439" i="5" s="1"/>
  <c r="M439" i="5" s="1"/>
  <c r="F61" i="5"/>
  <c r="J61" i="5" s="1"/>
  <c r="M61" i="5" s="1"/>
  <c r="F436" i="5"/>
  <c r="J436" i="5" s="1"/>
  <c r="M436" i="5" s="1"/>
  <c r="F140" i="5"/>
  <c r="H140" i="5" s="1"/>
  <c r="M140" i="5" s="1"/>
  <c r="F187" i="5"/>
  <c r="L187" i="5" s="1"/>
  <c r="M187" i="5" s="1"/>
  <c r="F304" i="5"/>
  <c r="H304" i="5" s="1"/>
  <c r="M304" i="5" s="1"/>
  <c r="F345" i="5"/>
  <c r="J345" i="5" s="1"/>
  <c r="M345" i="5" s="1"/>
  <c r="F377" i="5"/>
  <c r="J377" i="5" s="1"/>
  <c r="M377" i="5" s="1"/>
  <c r="F105" i="5"/>
  <c r="H105" i="5" s="1"/>
  <c r="M105" i="5" s="1"/>
  <c r="F139" i="5"/>
  <c r="H139" i="5" s="1"/>
  <c r="M139" i="5" s="1"/>
  <c r="F96" i="5"/>
  <c r="H96" i="5" s="1"/>
  <c r="M96" i="5" s="1"/>
  <c r="F217" i="5"/>
  <c r="J217" i="5" s="1"/>
  <c r="M217" i="5" s="1"/>
  <c r="F294" i="5"/>
  <c r="J294" i="5" s="1"/>
  <c r="M294" i="5" s="1"/>
  <c r="F119" i="5"/>
  <c r="H119" i="5" s="1"/>
  <c r="M119" i="5" s="1"/>
  <c r="F129" i="5"/>
  <c r="L129" i="5" s="1"/>
  <c r="M129" i="5" s="1"/>
  <c r="F137" i="5"/>
  <c r="H137" i="5" s="1"/>
  <c r="M137" i="5" s="1"/>
  <c r="F155" i="5"/>
  <c r="H155" i="5" s="1"/>
  <c r="M155" i="5" s="1"/>
  <c r="F246" i="5"/>
  <c r="H246" i="5" s="1"/>
  <c r="M246" i="5" s="1"/>
  <c r="F250" i="5"/>
  <c r="H250" i="5" s="1"/>
  <c r="M250" i="5" s="1"/>
  <c r="F338" i="5"/>
  <c r="H338" i="5" s="1"/>
  <c r="M338" i="5" s="1"/>
  <c r="F30" i="5"/>
  <c r="J30" i="5" s="1"/>
  <c r="M30" i="5" s="1"/>
  <c r="F55" i="5"/>
  <c r="H55" i="5" s="1"/>
  <c r="M55" i="5" s="1"/>
  <c r="F56" i="5"/>
  <c r="H56" i="5" s="1"/>
  <c r="M56" i="5" s="1"/>
  <c r="F100" i="5"/>
  <c r="H100" i="5" s="1"/>
  <c r="M100" i="5" s="1"/>
  <c r="F124" i="5"/>
  <c r="J124" i="5" s="1"/>
  <c r="M124" i="5" s="1"/>
  <c r="F127" i="5"/>
  <c r="J127" i="5" s="1"/>
  <c r="M127" i="5" s="1"/>
  <c r="F131" i="5"/>
  <c r="H131" i="5" s="1"/>
  <c r="M131" i="5" s="1"/>
  <c r="F133" i="5"/>
  <c r="J133" i="5" s="1"/>
  <c r="M133" i="5" s="1"/>
  <c r="F134" i="5"/>
  <c r="L134" i="5" s="1"/>
  <c r="M134" i="5" s="1"/>
  <c r="F135" i="5"/>
  <c r="H135" i="5" s="1"/>
  <c r="M135" i="5" s="1"/>
  <c r="F136" i="5"/>
  <c r="H136" i="5" s="1"/>
  <c r="M136" i="5" s="1"/>
  <c r="F142" i="5"/>
  <c r="J142" i="5" s="1"/>
  <c r="M142" i="5" s="1"/>
  <c r="F153" i="5"/>
  <c r="J153" i="5" s="1"/>
  <c r="M153" i="5" s="1"/>
  <c r="F244" i="5"/>
  <c r="J244" i="5" s="1"/>
  <c r="M244" i="5" s="1"/>
  <c r="F302" i="5"/>
  <c r="H302" i="5" s="1"/>
  <c r="M302" i="5" s="1"/>
  <c r="F310" i="5"/>
  <c r="H310" i="5" s="1"/>
  <c r="M310" i="5" s="1"/>
  <c r="F324" i="5"/>
  <c r="H324" i="5" s="1"/>
  <c r="M324" i="5" s="1"/>
  <c r="F336" i="5"/>
  <c r="J336" i="5" s="1"/>
  <c r="M336" i="5" s="1"/>
  <c r="F414" i="5"/>
  <c r="J414" i="5" s="1"/>
  <c r="M414" i="5" s="1"/>
  <c r="F438" i="5"/>
  <c r="L438" i="5" s="1"/>
  <c r="M438" i="5" s="1"/>
  <c r="F25" i="5"/>
  <c r="H25" i="5" s="1"/>
  <c r="M25" i="5" s="1"/>
  <c r="F265" i="5"/>
  <c r="L265" i="5" s="1"/>
  <c r="M265" i="5" s="1"/>
  <c r="F273" i="5"/>
  <c r="H273" i="5" s="1"/>
  <c r="M273" i="5" s="1"/>
  <c r="F289" i="5"/>
  <c r="H289" i="5" s="1"/>
  <c r="M289" i="5" s="1"/>
  <c r="F343" i="5"/>
  <c r="L343" i="5" s="1"/>
  <c r="M343" i="5" s="1"/>
  <c r="F356" i="5"/>
  <c r="H356" i="5" s="1"/>
  <c r="M356" i="5" s="1"/>
  <c r="F381" i="5"/>
  <c r="L381" i="5" s="1"/>
  <c r="M381" i="5" s="1"/>
  <c r="F387" i="5"/>
  <c r="H387" i="5" s="1"/>
  <c r="M387" i="5" s="1"/>
  <c r="F389" i="5"/>
  <c r="H389" i="5" s="1"/>
  <c r="M389" i="5" s="1"/>
  <c r="F394" i="5"/>
  <c r="H394" i="5" s="1"/>
  <c r="M394" i="5" s="1"/>
  <c r="F418" i="5"/>
  <c r="L418" i="5" s="1"/>
  <c r="M418" i="5" s="1"/>
  <c r="F419" i="5"/>
  <c r="H419" i="5" s="1"/>
  <c r="M419" i="5" s="1"/>
  <c r="F424" i="5"/>
  <c r="H424" i="5" s="1"/>
  <c r="M424" i="5" s="1"/>
  <c r="F426" i="5"/>
  <c r="H426" i="5" s="1"/>
  <c r="M426" i="5" s="1"/>
  <c r="F434" i="5"/>
  <c r="L434" i="5" s="1"/>
  <c r="M434" i="5" s="1"/>
  <c r="F13" i="5"/>
  <c r="L13" i="5" s="1"/>
  <c r="M13" i="5" s="1"/>
  <c r="F17" i="5"/>
  <c r="H17" i="5" s="1"/>
  <c r="M17" i="5" s="1"/>
  <c r="F47" i="5"/>
  <c r="H47" i="5" s="1"/>
  <c r="M47" i="5" s="1"/>
  <c r="F48" i="5"/>
  <c r="H48" i="5" s="1"/>
  <c r="M48" i="5" s="1"/>
  <c r="F58" i="5"/>
  <c r="H58" i="5" s="1"/>
  <c r="M58" i="5" s="1"/>
  <c r="F59" i="5"/>
  <c r="H59" i="5" s="1"/>
  <c r="M59" i="5" s="1"/>
  <c r="F88" i="5"/>
  <c r="H88" i="5" s="1"/>
  <c r="M88" i="5" s="1"/>
  <c r="F161" i="5"/>
  <c r="L161" i="5" s="1"/>
  <c r="M161" i="5" s="1"/>
  <c r="F186" i="5"/>
  <c r="J186" i="5" s="1"/>
  <c r="M186" i="5" s="1"/>
  <c r="F188" i="5"/>
  <c r="H188" i="5" s="1"/>
  <c r="M188" i="5" s="1"/>
  <c r="F209" i="5"/>
  <c r="H209" i="5" s="1"/>
  <c r="M209" i="5" s="1"/>
  <c r="F11" i="5"/>
  <c r="J11" i="5" s="1"/>
  <c r="M11" i="5" s="1"/>
  <c r="F28" i="5"/>
  <c r="H28" i="5" s="1"/>
  <c r="M28" i="5" s="1"/>
  <c r="F45" i="5"/>
  <c r="J45" i="5" s="1"/>
  <c r="M45" i="5" s="1"/>
  <c r="F49" i="5"/>
  <c r="F57" i="5" s="1"/>
  <c r="H57" i="5" s="1"/>
  <c r="M57" i="5" s="1"/>
  <c r="F52" i="5"/>
  <c r="J52" i="5" s="1"/>
  <c r="M52" i="5" s="1"/>
  <c r="F53" i="5"/>
  <c r="L53" i="5" s="1"/>
  <c r="M53" i="5" s="1"/>
  <c r="F54" i="5"/>
  <c r="H54" i="5" s="1"/>
  <c r="M54" i="5" s="1"/>
  <c r="F84" i="5"/>
  <c r="H84" i="5" s="1"/>
  <c r="M84" i="5" s="1"/>
  <c r="F86" i="5"/>
  <c r="J86" i="5" s="1"/>
  <c r="M86" i="5" s="1"/>
  <c r="F90" i="5"/>
  <c r="H90" i="5" s="1"/>
  <c r="M90" i="5" s="1"/>
  <c r="F95" i="5"/>
  <c r="L95" i="5" s="1"/>
  <c r="M95" i="5" s="1"/>
  <c r="F99" i="5"/>
  <c r="H99" i="5" s="1"/>
  <c r="M99" i="5" s="1"/>
  <c r="F101" i="5"/>
  <c r="H101" i="5" s="1"/>
  <c r="M101" i="5" s="1"/>
  <c r="F130" i="5"/>
  <c r="F138" i="5" s="1"/>
  <c r="H138" i="5" s="1"/>
  <c r="M138" i="5" s="1"/>
  <c r="F160" i="5"/>
  <c r="J160" i="5" s="1"/>
  <c r="M160" i="5" s="1"/>
  <c r="F196" i="5"/>
  <c r="J196" i="5" s="1"/>
  <c r="M196" i="5" s="1"/>
  <c r="F226" i="5"/>
  <c r="L226" i="5" s="1"/>
  <c r="M226" i="5" s="1"/>
  <c r="F240" i="5"/>
  <c r="H240" i="5" s="1"/>
  <c r="M240" i="5" s="1"/>
  <c r="F242" i="5"/>
  <c r="H242" i="5" s="1"/>
  <c r="M242" i="5" s="1"/>
  <c r="F247" i="5"/>
  <c r="H247" i="5" s="1"/>
  <c r="M247" i="5" s="1"/>
  <c r="F248" i="5"/>
  <c r="H248" i="5" s="1"/>
  <c r="M248" i="5" s="1"/>
  <c r="F260" i="5"/>
  <c r="H260" i="5" s="1"/>
  <c r="M260" i="5" s="1"/>
  <c r="F264" i="5"/>
  <c r="J264" i="5" s="1"/>
  <c r="M264" i="5" s="1"/>
  <c r="F268" i="5"/>
  <c r="H268" i="5" s="1"/>
  <c r="M268" i="5" s="1"/>
  <c r="F271" i="5"/>
  <c r="J271" i="5" s="1"/>
  <c r="M271" i="5" s="1"/>
  <c r="F274" i="5"/>
  <c r="H274" i="5" s="1"/>
  <c r="M274" i="5" s="1"/>
  <c r="F288" i="5"/>
  <c r="L288" i="5" s="1"/>
  <c r="M288" i="5" s="1"/>
  <c r="F299" i="5"/>
  <c r="J299" i="5" s="1"/>
  <c r="M299" i="5" s="1"/>
  <c r="F303" i="5"/>
  <c r="H303" i="5" s="1"/>
  <c r="M303" i="5" s="1"/>
  <c r="F307" i="5"/>
  <c r="H307" i="5" s="1"/>
  <c r="M307" i="5" s="1"/>
  <c r="J326" i="5"/>
  <c r="M326" i="5" s="1"/>
  <c r="L327" i="5"/>
  <c r="M327" i="5" s="1"/>
  <c r="F337" i="5"/>
  <c r="L337" i="5" s="1"/>
  <c r="M337" i="5" s="1"/>
  <c r="F340" i="5"/>
  <c r="H340" i="5" s="1"/>
  <c r="M340" i="5" s="1"/>
  <c r="F374" i="5"/>
  <c r="J374" i="5" s="1"/>
  <c r="M374" i="5" s="1"/>
  <c r="F379" i="5"/>
  <c r="J379" i="5" s="1"/>
  <c r="M379" i="5" s="1"/>
  <c r="F382" i="5"/>
  <c r="H382" i="5" s="1"/>
  <c r="M382" i="5" s="1"/>
  <c r="F383" i="5"/>
  <c r="H383" i="5" s="1"/>
  <c r="M383" i="5" s="1"/>
  <c r="F385" i="5"/>
  <c r="J385" i="5" s="1"/>
  <c r="M385" i="5" s="1"/>
  <c r="F388" i="5"/>
  <c r="H388" i="5" s="1"/>
  <c r="M388" i="5" s="1"/>
  <c r="F393" i="5"/>
  <c r="H393" i="5" s="1"/>
  <c r="M393" i="5" s="1"/>
  <c r="F399" i="5"/>
  <c r="H399" i="5" s="1"/>
  <c r="M399" i="5" s="1"/>
  <c r="F405" i="5"/>
  <c r="J405" i="5" s="1"/>
  <c r="M405" i="5" s="1"/>
  <c r="F412" i="5"/>
  <c r="L412" i="5" s="1"/>
  <c r="M412" i="5" s="1"/>
  <c r="F416" i="5"/>
  <c r="J416" i="5" s="1"/>
  <c r="M416" i="5" s="1"/>
  <c r="F420" i="5"/>
  <c r="H420" i="5" s="1"/>
  <c r="M420" i="5" s="1"/>
  <c r="F422" i="5"/>
  <c r="J422" i="5" s="1"/>
  <c r="M422" i="5" s="1"/>
  <c r="F425" i="5"/>
  <c r="H425" i="5" s="1"/>
  <c r="M425" i="5" s="1"/>
  <c r="L285" i="5"/>
  <c r="M285" i="5" s="1"/>
  <c r="F111" i="5"/>
  <c r="H111" i="5" s="1"/>
  <c r="M111" i="5" s="1"/>
  <c r="F108" i="5"/>
  <c r="J108" i="5" s="1"/>
  <c r="M108" i="5" s="1"/>
  <c r="F149" i="5"/>
  <c r="H149" i="5" s="1"/>
  <c r="M149" i="5" s="1"/>
  <c r="F145" i="5"/>
  <c r="J145" i="5" s="1"/>
  <c r="M145" i="5" s="1"/>
  <c r="F151" i="5"/>
  <c r="H151" i="5" s="1"/>
  <c r="M151" i="5" s="1"/>
  <c r="F147" i="5"/>
  <c r="H147" i="5" s="1"/>
  <c r="M147" i="5" s="1"/>
  <c r="F176" i="5"/>
  <c r="H176" i="5" s="1"/>
  <c r="M176" i="5" s="1"/>
  <c r="F174" i="5"/>
  <c r="J174" i="5" s="1"/>
  <c r="M174" i="5" s="1"/>
  <c r="F189" i="5"/>
  <c r="H189" i="5" s="1"/>
  <c r="M189" i="5" s="1"/>
  <c r="F315" i="5"/>
  <c r="H315" i="5" s="1"/>
  <c r="M315" i="5" s="1"/>
  <c r="F314" i="5"/>
  <c r="L314" i="5" s="1"/>
  <c r="M314" i="5" s="1"/>
  <c r="F368" i="5"/>
  <c r="H368" i="5" s="1"/>
  <c r="M368" i="5" s="1"/>
  <c r="F364" i="5"/>
  <c r="H364" i="5" s="1"/>
  <c r="M364" i="5" s="1"/>
  <c r="F370" i="5"/>
  <c r="H370" i="5" s="1"/>
  <c r="M370" i="5" s="1"/>
  <c r="F363" i="5"/>
  <c r="L363" i="5" s="1"/>
  <c r="M363" i="5" s="1"/>
  <c r="F429" i="5"/>
  <c r="J429" i="5" s="1"/>
  <c r="M429" i="5" s="1"/>
  <c r="F431" i="5"/>
  <c r="H431" i="5" s="1"/>
  <c r="M431" i="5" s="1"/>
  <c r="M482" i="5"/>
  <c r="L581" i="5"/>
  <c r="F168" i="5"/>
  <c r="H168" i="5" s="1"/>
  <c r="M168" i="5" s="1"/>
  <c r="F169" i="5"/>
  <c r="H169" i="5" s="1"/>
  <c r="M169" i="5" s="1"/>
  <c r="F182" i="5"/>
  <c r="H182" i="5" s="1"/>
  <c r="M182" i="5" s="1"/>
  <c r="F180" i="5"/>
  <c r="L180" i="5" s="1"/>
  <c r="M180" i="5" s="1"/>
  <c r="F231" i="5"/>
  <c r="H231" i="5" s="1"/>
  <c r="M231" i="5" s="1"/>
  <c r="F230" i="5"/>
  <c r="L230" i="5" s="1"/>
  <c r="M230" i="5" s="1"/>
  <c r="H330" i="5"/>
  <c r="M330" i="5" s="1"/>
  <c r="H329" i="5"/>
  <c r="M329" i="5" s="1"/>
  <c r="F358" i="5"/>
  <c r="H358" i="5" s="1"/>
  <c r="M358" i="5" s="1"/>
  <c r="F354" i="5"/>
  <c r="H354" i="5" s="1"/>
  <c r="M354" i="5" s="1"/>
  <c r="F357" i="5"/>
  <c r="H357" i="5" s="1"/>
  <c r="M357" i="5" s="1"/>
  <c r="F355" i="5"/>
  <c r="H355" i="5" s="1"/>
  <c r="M355" i="5" s="1"/>
  <c r="F443" i="5"/>
  <c r="H443" i="5" s="1"/>
  <c r="M443" i="5" s="1"/>
  <c r="F445" i="5"/>
  <c r="H445" i="5" s="1"/>
  <c r="M445" i="5" s="1"/>
  <c r="F18" i="5"/>
  <c r="H18" i="5" s="1"/>
  <c r="M18" i="5" s="1"/>
  <c r="F14" i="5"/>
  <c r="L14" i="5" s="1"/>
  <c r="M14" i="5" s="1"/>
  <c r="F117" i="5"/>
  <c r="H117" i="5" s="1"/>
  <c r="M117" i="5" s="1"/>
  <c r="F115" i="5"/>
  <c r="L115" i="5" s="1"/>
  <c r="M115" i="5" s="1"/>
  <c r="F212" i="5"/>
  <c r="H212" i="5" s="1"/>
  <c r="M212" i="5" s="1"/>
  <c r="F208" i="5"/>
  <c r="H208" i="5" s="1"/>
  <c r="M208" i="5" s="1"/>
  <c r="F207" i="5"/>
  <c r="H207" i="5" s="1"/>
  <c r="M207" i="5" s="1"/>
  <c r="F206" i="5"/>
  <c r="L206" i="5" s="1"/>
  <c r="M206" i="5" s="1"/>
  <c r="F205" i="5"/>
  <c r="J205" i="5" s="1"/>
  <c r="M205" i="5" s="1"/>
  <c r="F214" i="5"/>
  <c r="J214" i="5" s="1"/>
  <c r="M214" i="5" s="1"/>
  <c r="F215" i="5"/>
  <c r="L215" i="5" s="1"/>
  <c r="M215" i="5" s="1"/>
  <c r="F223" i="5"/>
  <c r="H223" i="5" s="1"/>
  <c r="M223" i="5" s="1"/>
  <c r="F220" i="5"/>
  <c r="H220" i="5" s="1"/>
  <c r="M220" i="5" s="1"/>
  <c r="F221" i="5"/>
  <c r="H221" i="5" s="1"/>
  <c r="M221" i="5" s="1"/>
  <c r="F254" i="5"/>
  <c r="H254" i="5" s="1"/>
  <c r="M254" i="5" s="1"/>
  <c r="F253" i="5"/>
  <c r="L253" i="5" s="1"/>
  <c r="M253" i="5" s="1"/>
  <c r="F348" i="5"/>
  <c r="H348" i="5" s="1"/>
  <c r="M348" i="5" s="1"/>
  <c r="F349" i="5"/>
  <c r="H349" i="5" s="1"/>
  <c r="M349" i="5" s="1"/>
  <c r="F106" i="5"/>
  <c r="H106" i="5" s="1"/>
  <c r="M106" i="5" s="1"/>
  <c r="F102" i="5"/>
  <c r="H102" i="5" s="1"/>
  <c r="M102" i="5" s="1"/>
  <c r="F98" i="5"/>
  <c r="H98" i="5" s="1"/>
  <c r="M98" i="5" s="1"/>
  <c r="F321" i="5"/>
  <c r="H321" i="5" s="1"/>
  <c r="M321" i="5" s="1"/>
  <c r="F320" i="5"/>
  <c r="L320" i="5" s="1"/>
  <c r="M320" i="5" s="1"/>
  <c r="F402" i="5"/>
  <c r="H402" i="5" s="1"/>
  <c r="M402" i="5" s="1"/>
  <c r="F398" i="5"/>
  <c r="H398" i="5" s="1"/>
  <c r="M398" i="5" s="1"/>
  <c r="F403" i="5"/>
  <c r="H403" i="5" s="1"/>
  <c r="M403" i="5" s="1"/>
  <c r="F396" i="5"/>
  <c r="J396" i="5" s="1"/>
  <c r="M396" i="5" s="1"/>
  <c r="F36" i="5"/>
  <c r="H36" i="5" s="1"/>
  <c r="M36" i="5" s="1"/>
  <c r="F317" i="5"/>
  <c r="H317" i="5" s="1"/>
  <c r="M317" i="5" s="1"/>
  <c r="F366" i="5"/>
  <c r="H366" i="5" s="1"/>
  <c r="M366" i="5" s="1"/>
  <c r="F371" i="5"/>
  <c r="H371" i="5" s="1"/>
  <c r="M371" i="5" s="1"/>
  <c r="F22" i="5"/>
  <c r="L22" i="5" s="1"/>
  <c r="M22" i="5" s="1"/>
  <c r="F34" i="5"/>
  <c r="L34" i="5" s="1"/>
  <c r="M34" i="5" s="1"/>
  <c r="F42" i="5"/>
  <c r="L42" i="5" s="1"/>
  <c r="M42" i="5" s="1"/>
  <c r="F78" i="5"/>
  <c r="H78" i="5" s="1"/>
  <c r="M78" i="5" s="1"/>
  <c r="F80" i="5"/>
  <c r="H80" i="5" s="1"/>
  <c r="M80" i="5" s="1"/>
  <c r="F109" i="5"/>
  <c r="L109" i="5" s="1"/>
  <c r="M109" i="5" s="1"/>
  <c r="F167" i="5"/>
  <c r="H167" i="5" s="1"/>
  <c r="M167" i="5" s="1"/>
  <c r="F181" i="5"/>
  <c r="H181" i="5" s="1"/>
  <c r="M181" i="5" s="1"/>
  <c r="F183" i="5"/>
  <c r="H183" i="5" s="1"/>
  <c r="M183" i="5" s="1"/>
  <c r="F233" i="5"/>
  <c r="H233" i="5" s="1"/>
  <c r="M233" i="5" s="1"/>
  <c r="F259" i="5"/>
  <c r="L259" i="5" s="1"/>
  <c r="M259" i="5" s="1"/>
  <c r="F296" i="5"/>
  <c r="H296" i="5" s="1"/>
  <c r="M296" i="5" s="1"/>
  <c r="F353" i="5"/>
  <c r="H353" i="5" s="1"/>
  <c r="M353" i="5" s="1"/>
  <c r="F360" i="5"/>
  <c r="H360" i="5" s="1"/>
  <c r="M360" i="5" s="1"/>
  <c r="F407" i="5"/>
  <c r="H407" i="5" s="1"/>
  <c r="M407" i="5" s="1"/>
  <c r="F16" i="5"/>
  <c r="H16" i="5" s="1"/>
  <c r="M16" i="5" s="1"/>
  <c r="F23" i="5"/>
  <c r="H23" i="5" s="1"/>
  <c r="M23" i="5" s="1"/>
  <c r="F27" i="5"/>
  <c r="H27" i="5" s="1"/>
  <c r="M27" i="5" s="1"/>
  <c r="F37" i="5"/>
  <c r="H37" i="5" s="1"/>
  <c r="M37" i="5" s="1"/>
  <c r="F39" i="5"/>
  <c r="H39" i="5" s="1"/>
  <c r="M39" i="5" s="1"/>
  <c r="L73" i="5"/>
  <c r="M73" i="5" s="1"/>
  <c r="F76" i="5"/>
  <c r="L76" i="5" s="1"/>
  <c r="M76" i="5" s="1"/>
  <c r="F116" i="5"/>
  <c r="H116" i="5" s="1"/>
  <c r="M116" i="5" s="1"/>
  <c r="F118" i="5"/>
  <c r="H118" i="5" s="1"/>
  <c r="M118" i="5" s="1"/>
  <c r="F146" i="5"/>
  <c r="L146" i="5" s="1"/>
  <c r="M146" i="5" s="1"/>
  <c r="F172" i="5"/>
  <c r="L172" i="5" s="1"/>
  <c r="M172" i="5" s="1"/>
  <c r="F175" i="5"/>
  <c r="L175" i="5" s="1"/>
  <c r="M175" i="5" s="1"/>
  <c r="F177" i="5"/>
  <c r="H177" i="5" s="1"/>
  <c r="M177" i="5" s="1"/>
  <c r="F211" i="5"/>
  <c r="H211" i="5" s="1"/>
  <c r="M211" i="5" s="1"/>
  <c r="F219" i="5"/>
  <c r="H219" i="5" s="1"/>
  <c r="M219" i="5" s="1"/>
  <c r="F227" i="5"/>
  <c r="H227" i="5" s="1"/>
  <c r="M227" i="5" s="1"/>
  <c r="F256" i="5"/>
  <c r="H256" i="5" s="1"/>
  <c r="M256" i="5" s="1"/>
  <c r="F262" i="5"/>
  <c r="H262" i="5" s="1"/>
  <c r="M262" i="5" s="1"/>
  <c r="F316" i="5"/>
  <c r="H316" i="5" s="1"/>
  <c r="M316" i="5" s="1"/>
  <c r="F347" i="5"/>
  <c r="H347" i="5" s="1"/>
  <c r="M347" i="5" s="1"/>
  <c r="F365" i="5"/>
  <c r="H365" i="5" s="1"/>
  <c r="M365" i="5" s="1"/>
  <c r="F430" i="5"/>
  <c r="H430" i="5" s="1"/>
  <c r="M430" i="5" s="1"/>
  <c r="F448" i="5"/>
  <c r="L448" i="5" s="1"/>
  <c r="M448" i="5" s="1"/>
  <c r="H581" i="5"/>
  <c r="H583" i="5" s="1"/>
  <c r="F12" i="5"/>
  <c r="L12" i="5" s="1"/>
  <c r="M15" i="5"/>
  <c r="F19" i="5"/>
  <c r="F24" i="5"/>
  <c r="H24" i="5" s="1"/>
  <c r="M24" i="5" s="1"/>
  <c r="F33" i="5"/>
  <c r="J33" i="5" s="1"/>
  <c r="M33" i="5" s="1"/>
  <c r="F41" i="5"/>
  <c r="J41" i="5" s="1"/>
  <c r="M41" i="5" s="1"/>
  <c r="F79" i="5"/>
  <c r="H79" i="5" s="1"/>
  <c r="M79" i="5" s="1"/>
  <c r="F87" i="5"/>
  <c r="L87" i="5" s="1"/>
  <c r="M87" i="5" s="1"/>
  <c r="F97" i="5"/>
  <c r="H97" i="5" s="1"/>
  <c r="M97" i="5" s="1"/>
  <c r="F104" i="5"/>
  <c r="H104" i="5" s="1"/>
  <c r="M104" i="5" s="1"/>
  <c r="F110" i="5"/>
  <c r="H110" i="5" s="1"/>
  <c r="M110" i="5" s="1"/>
  <c r="F112" i="5"/>
  <c r="H112" i="5" s="1"/>
  <c r="M112" i="5" s="1"/>
  <c r="F148" i="5"/>
  <c r="H148" i="5" s="1"/>
  <c r="M148" i="5" s="1"/>
  <c r="F158" i="5"/>
  <c r="H158" i="5" s="1"/>
  <c r="M158" i="5" s="1"/>
  <c r="F166" i="5"/>
  <c r="L166" i="5" s="1"/>
  <c r="M166" i="5" s="1"/>
  <c r="F232" i="5"/>
  <c r="H232" i="5" s="1"/>
  <c r="M232" i="5" s="1"/>
  <c r="F235" i="5"/>
  <c r="J235" i="5" s="1"/>
  <c r="M235" i="5" s="1"/>
  <c r="F295" i="5"/>
  <c r="L295" i="5" s="1"/>
  <c r="M295" i="5" s="1"/>
  <c r="F313" i="5"/>
  <c r="J313" i="5" s="1"/>
  <c r="M313" i="5" s="1"/>
  <c r="F323" i="5"/>
  <c r="H323" i="5" s="1"/>
  <c r="M323" i="5" s="1"/>
  <c r="F334" i="5"/>
  <c r="L334" i="5" s="1"/>
  <c r="M334" i="5" s="1"/>
  <c r="F352" i="5"/>
  <c r="L352" i="5" s="1"/>
  <c r="M352" i="5" s="1"/>
  <c r="F359" i="5"/>
  <c r="H359" i="5" s="1"/>
  <c r="M359" i="5" s="1"/>
  <c r="F362" i="5"/>
  <c r="J362" i="5" s="1"/>
  <c r="M362" i="5" s="1"/>
  <c r="F367" i="5"/>
  <c r="H367" i="5" s="1"/>
  <c r="M367" i="5" s="1"/>
  <c r="F369" i="5"/>
  <c r="H369" i="5" s="1"/>
  <c r="M369" i="5" s="1"/>
  <c r="F406" i="5"/>
  <c r="L406" i="5" s="1"/>
  <c r="M406" i="5" s="1"/>
  <c r="F442" i="5"/>
  <c r="L442" i="5" s="1"/>
  <c r="M442" i="5" s="1"/>
  <c r="F444" i="5"/>
  <c r="H444" i="5" s="1"/>
  <c r="M444" i="5" s="1"/>
  <c r="F447" i="5"/>
  <c r="J447" i="5" s="1"/>
  <c r="M447" i="5" s="1"/>
  <c r="F450" i="5"/>
  <c r="H450" i="5" s="1"/>
  <c r="M450" i="5" s="1"/>
  <c r="J581" i="5"/>
  <c r="F291" i="5"/>
  <c r="H291" i="5" s="1"/>
  <c r="M291" i="5" s="1"/>
  <c r="F287" i="5"/>
  <c r="J287" i="5" s="1"/>
  <c r="M287" i="5" s="1"/>
  <c r="F309" i="5"/>
  <c r="H309" i="5" s="1"/>
  <c r="M309" i="5" s="1"/>
  <c r="F305" i="5"/>
  <c r="H305" i="5" s="1"/>
  <c r="M305" i="5" s="1"/>
  <c r="F301" i="5"/>
  <c r="H301" i="5" s="1"/>
  <c r="M301" i="5" s="1"/>
  <c r="F163" i="5"/>
  <c r="H163" i="5" s="1"/>
  <c r="M163" i="5" s="1"/>
  <c r="F267" i="5"/>
  <c r="H267" i="5" s="1"/>
  <c r="M267" i="5" s="1"/>
  <c r="F269" i="5"/>
  <c r="H269" i="5" s="1"/>
  <c r="M269" i="5" s="1"/>
  <c r="F292" i="5"/>
  <c r="H292" i="5" s="1"/>
  <c r="M292" i="5" s="1"/>
  <c r="F306" i="5"/>
  <c r="H306" i="5" s="1"/>
  <c r="M306" i="5" s="1"/>
  <c r="F308" i="5"/>
  <c r="H308" i="5" s="1"/>
  <c r="M308" i="5" s="1"/>
  <c r="F386" i="5"/>
  <c r="L386" i="5" s="1"/>
  <c r="M386" i="5" s="1"/>
  <c r="F423" i="5"/>
  <c r="L423" i="5" s="1"/>
  <c r="M423" i="5" s="1"/>
  <c r="I68" i="12" l="1"/>
  <c r="I69" i="12" s="1"/>
  <c r="F190" i="5"/>
  <c r="H190" i="5" s="1"/>
  <c r="M190" i="5" s="1"/>
  <c r="H130" i="5"/>
  <c r="M130" i="5" s="1"/>
  <c r="F210" i="5"/>
  <c r="H210" i="5" s="1"/>
  <c r="M210" i="5" s="1"/>
  <c r="H49" i="5"/>
  <c r="M49" i="5" s="1"/>
  <c r="L472" i="5"/>
  <c r="M12" i="5"/>
  <c r="M581" i="5"/>
  <c r="L583" i="5"/>
  <c r="H19" i="5"/>
  <c r="M19" i="5" s="1"/>
  <c r="F26" i="5"/>
  <c r="H26" i="5" s="1"/>
  <c r="M26" i="5" s="1"/>
  <c r="J582" i="5"/>
  <c r="M582" i="5" s="1"/>
  <c r="H584" i="5"/>
  <c r="H585" i="5" s="1"/>
  <c r="J472" i="5"/>
  <c r="J583" i="5" l="1"/>
  <c r="J584" i="5" s="1"/>
  <c r="J585" i="5" s="1"/>
  <c r="L473" i="5"/>
  <c r="L474" i="5" s="1"/>
  <c r="J473" i="5"/>
  <c r="J474" i="5" s="1"/>
  <c r="L584" i="5"/>
  <c r="H472" i="5"/>
  <c r="M583" i="5" l="1"/>
  <c r="M584" i="5"/>
  <c r="J475" i="5"/>
  <c r="J476" i="5" s="1"/>
  <c r="J588" i="5" s="1"/>
  <c r="L475" i="5"/>
  <c r="L476" i="5" s="1"/>
  <c r="H473" i="5"/>
  <c r="H474" i="5" s="1"/>
  <c r="L585" i="5"/>
  <c r="M472" i="5"/>
  <c r="M473" i="5" l="1"/>
  <c r="H475" i="5"/>
  <c r="M475" i="5" s="1"/>
  <c r="M474" i="5"/>
  <c r="J589" i="5"/>
  <c r="J590" i="5" s="1"/>
  <c r="M585" i="5"/>
  <c r="L588" i="5"/>
  <c r="H476" i="5" l="1"/>
  <c r="H588" i="5" s="1"/>
  <c r="H589" i="5" s="1"/>
  <c r="H590" i="5" s="1"/>
  <c r="J591" i="5"/>
  <c r="J592" i="5" s="1"/>
  <c r="L589" i="5"/>
  <c r="M588" i="5" l="1"/>
  <c r="M476" i="5"/>
  <c r="M589" i="5"/>
  <c r="L590" i="5"/>
  <c r="L591" i="5" s="1"/>
  <c r="L592" i="5" s="1"/>
  <c r="H591" i="5"/>
  <c r="H592" i="5" s="1"/>
  <c r="M590" i="5" l="1"/>
  <c r="M592" i="5"/>
  <c r="M591" i="5"/>
</calcChain>
</file>

<file path=xl/sharedStrings.xml><?xml version="1.0" encoding="utf-8"?>
<sst xmlns="http://schemas.openxmlformats.org/spreadsheetml/2006/main" count="2140" uniqueCount="376">
  <si>
    <t>gauTvaliswinebeli xarjebi</t>
  </si>
  <si>
    <t>lari</t>
  </si>
  <si>
    <t>safuZveli</t>
  </si>
  <si>
    <t>erT.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</si>
  <si>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</si>
  <si>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</si>
  <si>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</si>
  <si>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</si>
  <si>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</si>
  <si>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</si>
  <si>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</si>
  <si>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</si>
  <si>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</si>
  <si>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</si>
  <si>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</si>
  <si>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</si>
  <si>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</si>
  <si>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 xml:space="preserve">Sromis danaxarjebi  </t>
  </si>
  <si>
    <t>sxva manqana</t>
  </si>
  <si>
    <t>#</t>
  </si>
  <si>
    <t>xelfasi</t>
  </si>
  <si>
    <t>masala</t>
  </si>
  <si>
    <t>jami</t>
  </si>
  <si>
    <t>sul</t>
  </si>
  <si>
    <t>kv.m.</t>
  </si>
  <si>
    <t>cali</t>
  </si>
  <si>
    <t>zednadebi xarjebi</t>
  </si>
  <si>
    <t>mogeba</t>
  </si>
  <si>
    <t>grZ.m.</t>
  </si>
  <si>
    <t>jami 1</t>
  </si>
  <si>
    <t xml:space="preserve">Sromis danaxarjebi </t>
  </si>
  <si>
    <t>jami 2</t>
  </si>
  <si>
    <t>erT.-ze</t>
  </si>
  <si>
    <t>samSeneblo meqanizmebi</t>
  </si>
  <si>
    <t>manqanebi</t>
  </si>
  <si>
    <t>sanaTi</t>
  </si>
  <si>
    <t>samuSaoebis dasaxeleba</t>
  </si>
  <si>
    <t>ganz. erT.</t>
  </si>
  <si>
    <t>normatiuli resursi</t>
  </si>
  <si>
    <t>_</t>
  </si>
  <si>
    <t>.</t>
  </si>
  <si>
    <t>sabaz</t>
  </si>
  <si>
    <t>el.samontaJo samuSaoebi</t>
  </si>
  <si>
    <t>sxva masalebi</t>
  </si>
  <si>
    <t>materialuri resursi</t>
  </si>
  <si>
    <t>.8-402-2</t>
  </si>
  <si>
    <t>metri</t>
  </si>
  <si>
    <t>.8-599-5</t>
  </si>
  <si>
    <t>sul I, II da III Tavebis jami</t>
  </si>
  <si>
    <t>d.R.g.</t>
  </si>
  <si>
    <t>sul jami</t>
  </si>
  <si>
    <t>spilenZis sadenis 3*2,5mm (ormagi izolaciiT) montaJi da arsebul qselTan mierTeba</t>
  </si>
  <si>
    <t>sadeni kveTiT 3X2,5mm²</t>
  </si>
  <si>
    <t>,</t>
  </si>
  <si>
    <t>rusTavis raionul sasamarTlos SenobaSi Casatarebeli samuSaoebi</t>
  </si>
  <si>
    <t>.9-14-3</t>
  </si>
  <si>
    <t>kac.sT.</t>
  </si>
  <si>
    <t>amwe 3 toniani saavtomobilo svlaze</t>
  </si>
  <si>
    <t>man.sT.</t>
  </si>
  <si>
    <t>jalambari eleqtroreversuli 3 toniani</t>
  </si>
  <si>
    <t>sxva manqanebi</t>
  </si>
  <si>
    <t>kg</t>
  </si>
  <si>
    <t>mina organuli furclovani</t>
  </si>
  <si>
    <t>mina vitrinis polirebuli furclovani</t>
  </si>
  <si>
    <t>metaloplastmasis Seminuli tixari</t>
  </si>
  <si>
    <t xml:space="preserve">foladis samontaJo elementebi </t>
  </si>
  <si>
    <t>.6-15-11</t>
  </si>
  <si>
    <t>kub.m.</t>
  </si>
  <si>
    <t xml:space="preserve">manqana </t>
  </si>
  <si>
    <t>armatura</t>
  </si>
  <si>
    <t>tona</t>
  </si>
  <si>
    <t>betoni</t>
  </si>
  <si>
    <t>yalibis fari 25 mm</t>
  </si>
  <si>
    <t>eleqtrodi</t>
  </si>
  <si>
    <t>sxva masala</t>
  </si>
  <si>
    <t>ficari Camoganuli II xar. 40 mm da zeviT</t>
  </si>
  <si>
    <t>.46-16-3</t>
  </si>
  <si>
    <t xml:space="preserve">Sromis danaxarji  </t>
  </si>
  <si>
    <t>.15-56-1</t>
  </si>
  <si>
    <t>gamongreuli Riobis ferdilebis lesva qv. cementis xsnariT</t>
  </si>
  <si>
    <t>qviSa-cementis xsnari</t>
  </si>
  <si>
    <t>.15-168-7</t>
  </si>
  <si>
    <t>saRebavi polivinilacetatis</t>
  </si>
  <si>
    <t>safiTxi zeTovani</t>
  </si>
  <si>
    <t>saRebavi</t>
  </si>
  <si>
    <t>.34-59-1 34-61-4</t>
  </si>
  <si>
    <t>Sromis danaxarji</t>
  </si>
  <si>
    <t>TabaSir muyaos fila</t>
  </si>
  <si>
    <r>
      <rPr>
        <sz val="10"/>
        <rFont val="Cambria"/>
        <family val="1"/>
        <charset val="204"/>
        <scheme val="major"/>
      </rPr>
      <t xml:space="preserve">UW </t>
    </r>
    <r>
      <rPr>
        <sz val="10"/>
        <rFont val="AcadNusx"/>
      </rPr>
      <t>profili</t>
    </r>
  </si>
  <si>
    <r>
      <rPr>
        <sz val="10"/>
        <rFont val="Cambria"/>
        <family val="1"/>
        <charset val="204"/>
        <scheme val="major"/>
      </rPr>
      <t xml:space="preserve">CW </t>
    </r>
    <r>
      <rPr>
        <sz val="10"/>
        <rFont val="AcadNusx"/>
      </rPr>
      <t>profili</t>
    </r>
  </si>
  <si>
    <r>
      <t>Surupi</t>
    </r>
    <r>
      <rPr>
        <sz val="10"/>
        <rFont val="Cambria"/>
        <family val="1"/>
        <charset val="204"/>
        <scheme val="major"/>
      </rPr>
      <t xml:space="preserve"> TN25</t>
    </r>
  </si>
  <si>
    <t>fiTxi</t>
  </si>
  <si>
    <t>armirebis lenti</t>
  </si>
  <si>
    <r>
      <t>gamWedi dubeli</t>
    </r>
    <r>
      <rPr>
        <sz val="10"/>
        <rFont val="Cambria"/>
        <family val="1"/>
        <charset val="204"/>
        <scheme val="major"/>
      </rPr>
      <t xml:space="preserve">  K 6/35</t>
    </r>
  </si>
  <si>
    <t>saizolacio lenti</t>
  </si>
  <si>
    <t>grunti</t>
  </si>
  <si>
    <t>mineraluri bamba</t>
  </si>
  <si>
    <t>.15-252-2</t>
  </si>
  <si>
    <t>manqana</t>
  </si>
  <si>
    <t>qaRaldi</t>
  </si>
  <si>
    <t>Spalieri</t>
  </si>
  <si>
    <t>webo КМЦ</t>
  </si>
  <si>
    <t>ЕНиР-Е20-1-201,6</t>
  </si>
  <si>
    <t>Zveli Spalieris Camoxeva</t>
  </si>
  <si>
    <t>Sromis danaxarjebi</t>
  </si>
  <si>
    <t>mkvrivi Spaleris gakvra oTaxsa da mowyobil  tixarze</t>
  </si>
  <si>
    <t>.15-168-8</t>
  </si>
  <si>
    <t xml:space="preserve">safiTxi </t>
  </si>
  <si>
    <t>ВЗЕР-88,14-801</t>
  </si>
  <si>
    <t>.46-15-2</t>
  </si>
  <si>
    <t>arsebuli kedlebidan da Weridan,  dabzaruli da fuye nalesis moxsna</t>
  </si>
  <si>
    <t>.15-55-9</t>
  </si>
  <si>
    <t>xsnaris tumbo 3kub.m/sT</t>
  </si>
  <si>
    <t>gaji</t>
  </si>
  <si>
    <t>t</t>
  </si>
  <si>
    <t>.10-20-3</t>
  </si>
  <si>
    <t>m.d.f-is karebi yru</t>
  </si>
  <si>
    <t>sapire</t>
  </si>
  <si>
    <t>xis ficari 3x.25-32mm</t>
  </si>
  <si>
    <t>karis mowyobiloba</t>
  </si>
  <si>
    <t>kompl.</t>
  </si>
  <si>
    <t>m.d.f-is karis dayeneba gamongreul RiobebSi</t>
  </si>
  <si>
    <t>.46-30-2</t>
  </si>
  <si>
    <t>arsebuli laminatis iatakis demontaJi</t>
  </si>
  <si>
    <t>.11-8-1</t>
  </si>
  <si>
    <t>cementis duRabi</t>
  </si>
  <si>
    <t>cementis gamasworebeli moWimvis mowyoba sisqiT 20mm</t>
  </si>
  <si>
    <t>.11-27-4</t>
  </si>
  <si>
    <t>lursmani</t>
  </si>
  <si>
    <t>plintusi</t>
  </si>
  <si>
    <t>iatakis safaris mowyoba laminirebuli iatakis filebiT</t>
  </si>
  <si>
    <t>webo</t>
  </si>
  <si>
    <t>laminirebuli iatakis fila</t>
  </si>
  <si>
    <t>ЕНиР-Е20-1-130-2,1</t>
  </si>
  <si>
    <t>fanjrebze arsebuli rafebis remonti</t>
  </si>
  <si>
    <t>.34-59-7 34-61-15</t>
  </si>
  <si>
    <t>Sekiduli Weris mowyoba "amstrongis" filebiT liTonis karkasze</t>
  </si>
  <si>
    <t xml:space="preserve">amstrongis filebi </t>
  </si>
  <si>
    <t>Sekiduli Weris liTonis profilebi</t>
  </si>
  <si>
    <t>8-591-8</t>
  </si>
  <si>
    <t>saStefselo rozetebis montaJi mesame damamiwebeli kontaqtiT 220v</t>
  </si>
  <si>
    <t xml:space="preserve">sxva manqana </t>
  </si>
  <si>
    <t>saStefselo rozeti mesame damamiwebeli kontaqtiT</t>
  </si>
  <si>
    <t>kondicionerisaTvis saStefselo rozetebis montaJi mesame damamiwebeli kontaqtiT 220v</t>
  </si>
  <si>
    <t>8-591-3</t>
  </si>
  <si>
    <t xml:space="preserve">erTklaviSian   gamomrTvelis montaJi, </t>
  </si>
  <si>
    <t>gamomrTveli</t>
  </si>
  <si>
    <t>20-22-2</t>
  </si>
  <si>
    <t>komp.</t>
  </si>
  <si>
    <t>split tipis kondicioneri</t>
  </si>
  <si>
    <t>kondicioneris montaJisaTvis makompleqtebeli nawilebi</t>
  </si>
  <si>
    <r>
      <t xml:space="preserve">split tipis 9000 </t>
    </r>
    <r>
      <rPr>
        <b/>
        <sz val="10"/>
        <rFont val="Cambria"/>
        <family val="1"/>
        <scheme val="major"/>
      </rPr>
      <t>BTU</t>
    </r>
    <r>
      <rPr>
        <b/>
        <sz val="10"/>
        <rFont val="AcadNusx"/>
      </rPr>
      <t xml:space="preserve">  kondicioneris montaJi</t>
    </r>
  </si>
  <si>
    <t>.12-8-5</t>
  </si>
  <si>
    <t>foladi furclovani moTuTiebuli</t>
  </si>
  <si>
    <t>fasadis mxridan fanjrebze sacremleebis mowyoba</t>
  </si>
  <si>
    <t>masalebi remontisaTvis</t>
  </si>
  <si>
    <t>Selesili zedapiris dafiTxvna da SeRebva igive ferad saRebaviT</t>
  </si>
  <si>
    <t>ВЗЕР-88, 25-16-54</t>
  </si>
  <si>
    <t>.46-31-2</t>
  </si>
  <si>
    <t>sveli wertilis kedelSi Riobis gamongreva</t>
  </si>
  <si>
    <t>gamongreuli Riobis ferdilebisa da sveli wertilis Camongreuli kedlebis  lesva qv. cementis xsnariT</t>
  </si>
  <si>
    <t>.46-23-4</t>
  </si>
  <si>
    <t>.8-15-1</t>
  </si>
  <si>
    <t xml:space="preserve">cementis xsnari </t>
  </si>
  <si>
    <t>mcire zomis betonis blokebi</t>
  </si>
  <si>
    <t>koridorSi m.d.f-is karis dayeneba amoSenebul kedelSi</t>
  </si>
  <si>
    <t>.9-17-5</t>
  </si>
  <si>
    <t>foladis konstruqcia</t>
  </si>
  <si>
    <t>samSeneblo WanWiki</t>
  </si>
  <si>
    <t>Sromis danaxarjebi k=0.6</t>
  </si>
  <si>
    <t>manqanebi k=0.7</t>
  </si>
  <si>
    <t>samSeneblo WanWiki k=0.5</t>
  </si>
  <si>
    <t>eleqtrodi k=0.5</t>
  </si>
  <si>
    <t>sxva masala k=0.5</t>
  </si>
  <si>
    <t xml:space="preserve">liTonis gisosebis demontaJi </t>
  </si>
  <si>
    <t>liTonis gisosebis montaJi</t>
  </si>
  <si>
    <t>.9-14-5</t>
  </si>
  <si>
    <t>metaloplastikis fanjrebi</t>
  </si>
  <si>
    <t>metaloplastmasis fanjrebis mowyoba</t>
  </si>
  <si>
    <t>saStefselo rozetebis montaJi mesame damamiwebeli kontaqtiT 220v TanaSemwis oTaxSi</t>
  </si>
  <si>
    <t>saStefselo rozetebis montaJi mesame damamiwebeli kontaqtiT 220v mosamarTlis oTaxSi</t>
  </si>
  <si>
    <t>kondicionerisaTvis saStefselo rozetebis montaJi mesame damamiwebeli kontaqtiT 220v TanaSemwis oTaxSi</t>
  </si>
  <si>
    <t>erTklaviSian   gamomrTvelis montaJi, TanaSemwis oTaxSi</t>
  </si>
  <si>
    <t>erTklaviSian   gamomrTvelis montaJi, mosamarTlis oTaxSi</t>
  </si>
  <si>
    <t>erTklaviSian   gamomrTvelis montaJi, koridorSi</t>
  </si>
  <si>
    <r>
      <t xml:space="preserve">TanaSemwis oTaxSi split tipis 9000 </t>
    </r>
    <r>
      <rPr>
        <b/>
        <sz val="10"/>
        <rFont val="Cambria"/>
        <family val="1"/>
        <scheme val="major"/>
      </rPr>
      <t>BTU</t>
    </r>
    <r>
      <rPr>
        <b/>
        <sz val="10"/>
        <rFont val="AcadNusx"/>
      </rPr>
      <t xml:space="preserve">  kondicioneris montaJi</t>
    </r>
  </si>
  <si>
    <t>.46-18-8</t>
  </si>
  <si>
    <t>radiatoris dasamontaJeblad kedelSi xvrelebis mowyoba</t>
  </si>
  <si>
    <t>.16-24-2</t>
  </si>
  <si>
    <t xml:space="preserve">sxva manqana  </t>
  </si>
  <si>
    <t>polieTilenis mili d=20mm</t>
  </si>
  <si>
    <t>plastmasis milis d=20mm gayvana fiTingebiT gaTbobis radiatorebisaTvis</t>
  </si>
  <si>
    <t>radiatori seqciuri</t>
  </si>
  <si>
    <t>axali seqciui radiatoris montaJi fasonuri nawilebis gaTvaliswinebiT</t>
  </si>
  <si>
    <t>.26-4-3</t>
  </si>
  <si>
    <t>milebis SefuTva folgaizoliani mineraluri bambiT</t>
  </si>
  <si>
    <t xml:space="preserve">Sromis danaxarjebi   </t>
  </si>
  <si>
    <t>folgaizoliani mineraluri bamba</t>
  </si>
  <si>
    <t xml:space="preserve">Sesakravi lenta </t>
  </si>
  <si>
    <t>mavTuli gamomwvari</t>
  </si>
  <si>
    <t>cementis moWimvis mowyoba sisqiT</t>
  </si>
  <si>
    <t>ufrosi mosamarTlis oTaxi</t>
  </si>
  <si>
    <t>oTaxis gadatixvra metalo plastmasis Seminuli tixriT</t>
  </si>
  <si>
    <t xml:space="preserve">oTaxis derefnidan Riobis gamosangrevad  zRudaris mowyo </t>
  </si>
  <si>
    <t>oTaxis derefnidan Riobis gamongreva</t>
  </si>
  <si>
    <t>ufrosi mosamarTlis mdivanis oTaxi</t>
  </si>
  <si>
    <t>oTaxSi tixris mowyoba T/muyaos filebiT liTonis karkasze</t>
  </si>
  <si>
    <t xml:space="preserve">oTaxSi  Weris  dafiTxvna da SeRebva </t>
  </si>
  <si>
    <t>sasamarTlos darbazis samuSaoebi</t>
  </si>
  <si>
    <t>darbazis kedlebidan da Weridan saRebavis Camofxeka</t>
  </si>
  <si>
    <t>Camongreuli kedlebis zedapirebis Selesva gajiT</t>
  </si>
  <si>
    <t>darbazis kedelSi Riobis gamongreva</t>
  </si>
  <si>
    <t>SemoerTebuli Senobis I sarTulis samuSaoebi</t>
  </si>
  <si>
    <t>SenobaSi gadasasvlelis mosawyobad svel wertilSi keramikuli filebis demontaJ</t>
  </si>
  <si>
    <t xml:space="preserve">SenobaSi  gadasasvlelis mosawyobad  sveli  wertilis kedelSi  Riobis  gamosangrevad  zRudaris mowyo </t>
  </si>
  <si>
    <t>Senobis I sarTulze oTaxebs Soris arsebuli kedlebis demontaJi</t>
  </si>
  <si>
    <t>Senobis I sarTulze oTaxsa da koridorSi wvrili samSeneblo blokiT kedlis amoSeneba</t>
  </si>
  <si>
    <t>Senobis I sarTulze  koridorSi wvrili samSeneblo blokiT kedlis amoSeneba</t>
  </si>
  <si>
    <t>kedlebsa da tixrebze TabaSirmuyaos filis gakvra liTonis karkasiT</t>
  </si>
  <si>
    <t>kedlebis dafiTxvna da SeRebva wyalemulsiuri saRebaviT</t>
  </si>
  <si>
    <t>.21-23-2</t>
  </si>
  <si>
    <t>gamanawilebel farSi, damatebiTi erT polusa 25 a-ani avtomaturi amomrTvelebis montaJi</t>
  </si>
  <si>
    <t>avtomati 25a erT pol.</t>
  </si>
  <si>
    <t>gatixruli oTaxis derefanSi, Sekidul WerSi sanaTis montaJi arsebul gamomrTvelze daerTebiT</t>
  </si>
  <si>
    <t>darbazis Sekidul WerSi sanaTis montaJi arsebul gamomrTvelze daerTebiT</t>
  </si>
  <si>
    <t>darbazis kedelSi Riobis gamosangrevad  zRudaris mowyoba</t>
  </si>
  <si>
    <t>SenobaSi spilenZis sadenis 3*2,5mm (ormagi izolaciiT) montaJi da qselTan mierTeba</t>
  </si>
  <si>
    <t xml:space="preserve">mosamarTlis  oTaxis  WerSi sanaTis montaJi </t>
  </si>
  <si>
    <t xml:space="preserve">koridoris WerSi sanaTis montaJi </t>
  </si>
  <si>
    <t xml:space="preserve">TanaSemwis oTaxis WerSi sanaTis montaJi </t>
  </si>
  <si>
    <t>SemoerTebuli Senobis II sarTulis samuSaoebi</t>
  </si>
  <si>
    <t xml:space="preserve">oTaxis derefnidan Riobis gamosangrevad  zRudaris mowyoba </t>
  </si>
  <si>
    <t>SenobaSi  gadasasvlelis mosawyobad  svel  wertilSi unitazis demontaJi</t>
  </si>
  <si>
    <t>Senobis II sarTulze  koridorSi wvrili samSeneblo blokiT kedlis amoSeneba</t>
  </si>
  <si>
    <t>.46-19-3</t>
  </si>
  <si>
    <t>milsadenebis gasayvanad kedlebsa da rkina betonis iatakebSi xvrelebis mowyoba</t>
  </si>
  <si>
    <t>.16-6-2</t>
  </si>
  <si>
    <t>plastmasis kanalizaciis d=100 mm-mde milsadenis gayvana</t>
  </si>
  <si>
    <t>plastmasis sakanalizacio mili d=100mm</t>
  </si>
  <si>
    <t>samagri</t>
  </si>
  <si>
    <t xml:space="preserve">polieTilenis mili  </t>
  </si>
  <si>
    <t xml:space="preserve">mufta </t>
  </si>
  <si>
    <t xml:space="preserve">kuTxe </t>
  </si>
  <si>
    <t>samkapi</t>
  </si>
  <si>
    <t>gadamyvani</t>
  </si>
  <si>
    <t>gadamyvani samkapi</t>
  </si>
  <si>
    <t>civi wylis polieTilenis milebis montaJi d=20mm</t>
  </si>
  <si>
    <t>cxeli wylis polieTilenis milebis montaJi d=20mm</t>
  </si>
  <si>
    <t>ezos Sida mxridan Senobis sarinelis mowyoba</t>
  </si>
  <si>
    <t>.46-31-12;13</t>
  </si>
  <si>
    <t>.27-9-4</t>
  </si>
  <si>
    <t>manq.sT.</t>
  </si>
  <si>
    <t>sangrevi CaquCi</t>
  </si>
  <si>
    <t>arsebuli dazianebuli asfaltis safaris dangreva</t>
  </si>
  <si>
    <t>.1-80-3</t>
  </si>
  <si>
    <t>gruntis damuSaveba xeliT sarinelis mosawyobad</t>
  </si>
  <si>
    <t>wyali</t>
  </si>
  <si>
    <t>.27-43-1,2</t>
  </si>
  <si>
    <t>axali sarinelis qveS qviSa-RorRis safuZvlis mowyoba</t>
  </si>
  <si>
    <t>TviTmavali mtkepnavi gluvi 5 toniani</t>
  </si>
  <si>
    <t>mosarwyavi manqana 6000lt-iani</t>
  </si>
  <si>
    <t xml:space="preserve">RorRi </t>
  </si>
  <si>
    <t>litri</t>
  </si>
  <si>
    <t>.11-1-11</t>
  </si>
  <si>
    <t>monoliTuri betonis sarinelis mowyoba</t>
  </si>
  <si>
    <t>betoni b=20</t>
  </si>
  <si>
    <t>.27-19-2</t>
  </si>
  <si>
    <t xml:space="preserve">bazaltis bordiuris mowyoba (15X30) sm </t>
  </si>
  <si>
    <t>bazaltis bordiuri</t>
  </si>
  <si>
    <t>betoni m200</t>
  </si>
  <si>
    <t>cementis xsnari m100</t>
  </si>
  <si>
    <t>ezos gare mxridan Senobis sarinelis mowyoba</t>
  </si>
  <si>
    <t xml:space="preserve">arsebuli betonis filebis sarinelis ayra </t>
  </si>
  <si>
    <t>.12-8-3</t>
  </si>
  <si>
    <t>Tunuqis furceli sisqiT 0,55mm</t>
  </si>
  <si>
    <t>ficari III xarisxis 40-60mm</t>
  </si>
  <si>
    <t>WanWiki</t>
  </si>
  <si>
    <t>naWedi</t>
  </si>
  <si>
    <t>.16-17-4</t>
  </si>
  <si>
    <t xml:space="preserve">sxva manqana normiT </t>
  </si>
  <si>
    <t>wyalmimRebi Zabrebi</t>
  </si>
  <si>
    <t>sxvadasxva masala normiT</t>
  </si>
  <si>
    <t xml:space="preserve">axali  wyalmimRebi  Zabrebis mowyoba </t>
  </si>
  <si>
    <t xml:space="preserve">kedlis axali wyalsarini milebis mowyoba </t>
  </si>
  <si>
    <t>saxuravis mowyobis samuSaoebi</t>
  </si>
  <si>
    <t>fasadis kedlidan uvargisi nalesis moxsna</t>
  </si>
  <si>
    <t>.15-52-1</t>
  </si>
  <si>
    <t>fasadis kedlebis lesva</t>
  </si>
  <si>
    <t>cementis xsnari 1:3</t>
  </si>
  <si>
    <t>.15-54-1</t>
  </si>
  <si>
    <t>fasadis kedlebis daSxefva</t>
  </si>
  <si>
    <t>.15-156-2</t>
  </si>
  <si>
    <t>saRebavi (mSrali, silikaturi da sxva)</t>
  </si>
  <si>
    <t>fasdis Selesili zedapiris SeRebva fasadis saRebaviT igive frad</t>
  </si>
  <si>
    <t>.10-4-1</t>
  </si>
  <si>
    <t>xis Zeli</t>
  </si>
  <si>
    <t>antiseptiki</t>
  </si>
  <si>
    <t>naWedi samSeneblo</t>
  </si>
  <si>
    <t>profnastili moTuTiebuli Tunuqi 0,55 mm</t>
  </si>
  <si>
    <t>moTuTiebuli profilirebuli TunuqiT, sisqiT 0.55 mm, ("proffenili") saxuravis daxurva</t>
  </si>
  <si>
    <t>saxuravis xis konstruqciis mowyoba, xis koWebiT (antiseptirebis gaTvaliswinebiT)</t>
  </si>
  <si>
    <t>.10-36-4</t>
  </si>
  <si>
    <t>ficari III xar. 25-32mm</t>
  </si>
  <si>
    <t>xis koWebze molartyvis mowyoba muSa sisqiT 35mm gaiSviaTebuli feniliT</t>
  </si>
  <si>
    <t>ВЗЕР-88, p-2-9 16-6-1</t>
  </si>
  <si>
    <t>kanalizaciis plastmasis milebis daSla  d=50mm-100m;   ( fasonuri detalebiT) k=0,4</t>
  </si>
  <si>
    <t>SromiTi resursebi</t>
  </si>
  <si>
    <t>kac/sT</t>
  </si>
  <si>
    <t xml:space="preserve">wyalsadeni plastmasis milebis CaWra da demontaJi  </t>
  </si>
  <si>
    <t xml:space="preserve">zednadebi xarjebi  </t>
  </si>
  <si>
    <t>kvm</t>
  </si>
  <si>
    <t>d.R.g</t>
  </si>
  <si>
    <t>c</t>
  </si>
  <si>
    <t>sabadrago bloki</t>
  </si>
  <si>
    <t>სულ ჯამი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</si>
  <si>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</si>
  <si>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erT. fas</t>
  </si>
  <si>
    <t>ჯამი</t>
  </si>
  <si>
    <t>raode-noba</t>
  </si>
  <si>
    <t>kedlebis damuSaveba, SefiTxvna da wyalemulsiuri saRebaviT Rebva orjer(feri damkveTTan SeTanxmebiT)</t>
  </si>
  <si>
    <t>rkinis karebis damuSaveba da Rebva nitro saRebaviT orjer(feri damkveTTan SeTanxmebiT)</t>
  </si>
  <si>
    <t>Weris damuSaveba, SefiTxvna da SeRebva wyalemulsiis saRebaviT orjer (feri damkveTTan SeTanxmebiT)</t>
  </si>
  <si>
    <t>antivandaluri sanaTebis mowyoba  სიმძლავრით არანაკლებ 20 ვტ</t>
  </si>
  <si>
    <t>გრძმ</t>
  </si>
  <si>
    <t>სკამების კედლების ლესვა ქვიშა-ცემენტის ხსნარით</t>
  </si>
  <si>
    <t>სკამების კედლების შეფითხვნა და ორჯერ ღებვა წყალემულსიური საღებავით</t>
  </si>
  <si>
    <t>ამოშენებული ბლოკის ღიობების შევსება პემზით</t>
  </si>
  <si>
    <t>კბმ</t>
  </si>
  <si>
    <t>ამოშენებული ბლოკის ღიობების თავზე 12 სმ სისქის ბ 25 ბეტონის ფილის მოწყობა</t>
  </si>
  <si>
    <t xml:space="preserve">ბეტონის თავზე 18 მმ სისქის მდფ-ის ფილის მოწყობა </t>
  </si>
  <si>
    <t>კვმ</t>
  </si>
  <si>
    <t>ცალი</t>
  </si>
  <si>
    <t>როზეტის მოწყობა</t>
  </si>
  <si>
    <t>რკინის კარებზე ლითონის 2მმ ფურცლების მოწყობა სარკმელის გათვალისწინებით</t>
  </si>
  <si>
    <t>სკამების კედლების მოწყობა სამშენებლო ბლოკით 20*20*40</t>
  </si>
  <si>
    <t>0,3 სმ სისქის ქვიშა-ცემენტის ხსნარით გამათანაბრებელი მჭიმის მოწყობა</t>
  </si>
  <si>
    <t xml:space="preserve">ხაოიანი კერამოგრანიტის ფილების მოწყობა </t>
  </si>
  <si>
    <t>საკეტის მოწყობა რკინის კარზე</t>
  </si>
  <si>
    <t>ერთკლავიშიანი ჩამრთველის მოწყობა</t>
  </si>
  <si>
    <t>კიბის უჯრედი</t>
  </si>
  <si>
    <t>სპილენძის ძარღვიანი ორმაგი იზოლაციით კაბელის მონტაჟი ნალესის ქვეშ კვეთით 3*1.5მმ</t>
  </si>
  <si>
    <t>გამანაწილებელი კოლოფის მონტაჟი</t>
  </si>
  <si>
    <t>კიბის მარშების დამუშავება, შეფითხვნა და წყალემულსიური საღებავით ორჯერ ღებვა</t>
  </si>
  <si>
    <t>ხაოიანი კერამოგრანიტის ფილების მოწყობა პლინტუსების ჩათვლით</t>
  </si>
  <si>
    <t>კარის ბლოკის დემონტაჟი</t>
  </si>
  <si>
    <t>მდფ-ის კარის მონტაჟი (სრული კომპლექტი)</t>
  </si>
  <si>
    <t>სველი წერტილი</t>
  </si>
  <si>
    <t>არსებული თურქული ჯამის დემონტაჟი</t>
  </si>
  <si>
    <t>ც</t>
  </si>
  <si>
    <t>არსებული ხელსაბანისა და ონკანის დემონტაჟი</t>
  </si>
  <si>
    <t>იატაკის დემონტაჟი კონსტრუქციამდე</t>
  </si>
  <si>
    <t>არსებული ფილებისა და ნალესის დემონტაჟი კედლებზე</t>
  </si>
  <si>
    <t>კედლების ლესვა ქვიშა-ცემენტის ხსნარით ფერდილების ჩათვლით</t>
  </si>
  <si>
    <t>sapirfareSoSi moWiquli filebis mowyoba kedelze, damkveTთan SeTanxmebiT</t>
  </si>
  <si>
    <t>iatakze qviSa-cementis xsnariT moWimva 4 sm</t>
  </si>
  <si>
    <t>iatakze metlaxis filebis mowyoba, damkveTTan STanxmebiT</t>
  </si>
  <si>
    <t>უნიტაზის mowyoba, Tanმdevi samუSaoebiT(sruli kompleqti)</t>
  </si>
  <si>
    <t>xelsabanis mowyoba, Tanmdevi samuSaoebiT</t>
  </si>
  <si>
    <t>onkanis mowyoba თანმდევი სამუშაოებით</t>
  </si>
  <si>
    <t>nikelis trapis mowyoba ,d 50 sifoniT, Tanmdevi samuSaoebiT</t>
  </si>
  <si>
    <t>nestgamZle TabaSir-muyaos filebis mowyoba Werze</t>
  </si>
  <si>
    <t>TabaSir-muyaos filebis შეფითხვნა და ორჯერ ღებვა</t>
  </si>
  <si>
    <t xml:space="preserve"> antivandaluri sanaTebis montaJi</t>
  </si>
  <si>
    <t>სამშენებლო ნაგავის გატანა ტერიტორიიდან</t>
  </si>
  <si>
    <t>ტ</t>
  </si>
  <si>
    <t>არსებული კარის დემონტაჟი</t>
  </si>
  <si>
    <t>მეტალოპლასტმასის კარის მოწყობა სრული კომპლექტი</t>
  </si>
  <si>
    <t>gegmiuri dagroveba</t>
  </si>
  <si>
    <t>გორის სასამართლო</t>
  </si>
  <si>
    <t>მილკვადრატებით 20*20 სისქით 2 მმ ფანჯრებზე გისოსის მოწყობა</t>
  </si>
  <si>
    <t xml:space="preserve">გისოსების დამუშავება და ორჯერ ღებვა </t>
  </si>
  <si>
    <t>Aარქივში ვენტილატორის მოწყობა არსებულ ელ.ქსელზე დაერთებით (ელ.სადენი გატარდეს კაბელ-არხში)</t>
  </si>
  <si>
    <t>kedlebis კალმატრონით damuSaveba,  SefiTxvna da wyalemulsiuri saRebaviT Rebva orjer(feri damkveTTan SeTanxmebiT)</t>
  </si>
  <si>
    <t>არქივში არსებული მეტალოპლასმასის ფრამუგების გადაკეთება გადმოღების ფუნქციით ფანჯრებით და გაღებულ რეჟიმში ფიქსაციისთვის ფიქსატორით (გაღების მიმართულება დაზუსტდეს ადგილზე) თოთოეული ზომებით 60სმ*150სმ</t>
  </si>
  <si>
    <t>კაბელის გატარება გოფრში ნალესის ქვეშ  LAN FTP CAT 6</t>
  </si>
  <si>
    <t>ხაშურის და გორის სასამართლოს სარემონტო სამუშაოები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</si>
</sst>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р_._-;\-* #,##0.00_р_._-;_-* &quot;-&quot;??_р_._-;_-@_-"/>
    <numFmt numFmtId="165" formatCode="_-* #,##0.00_-;\-* #,##0.00_-;_-* &quot;-&quot;??_-;_-@_-"/>
    <numFmt numFmtId="166" formatCode="[$-437]yyyy\ &quot;წლის&quot;\ dd\ mm\,\ dddd"/>
    <numFmt numFmtId="167" formatCode="0.0000"/>
    <numFmt numFmtId="168" formatCode="0.000"/>
  </numFmts>
  <fonts count="3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cadNusx"/>
    </font>
    <font>
      <sz val="10"/>
      <name val="AcadNusx"/>
    </font>
    <font>
      <sz val="10"/>
      <name val="Helv"/>
    </font>
    <font>
      <sz val="10"/>
      <name val="ChveuNusx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0"/>
      <color rgb="FFFF0000"/>
      <name val="AcadNusx"/>
    </font>
    <font>
      <b/>
      <sz val="10"/>
      <color theme="1"/>
      <name val="AcadNusx"/>
    </font>
    <font>
      <sz val="10"/>
      <color theme="1"/>
      <name val="AcadNusx"/>
    </font>
    <font>
      <sz val="10"/>
      <name val="Cambria"/>
      <family val="1"/>
      <charset val="204"/>
      <scheme val="major"/>
    </font>
    <font>
      <b/>
      <sz val="10"/>
      <name val="Cambria"/>
      <family val="1"/>
      <scheme val="major"/>
    </font>
    <font>
      <b/>
      <sz val="11"/>
      <name val="AcadNusx"/>
    </font>
    <font>
      <sz val="10"/>
      <color indexed="8"/>
      <name val="AcadNusx"/>
    </font>
    <font>
      <b/>
      <sz val="10"/>
      <color indexed="8"/>
      <name val="AcadNusx"/>
    </font>
    <font>
      <b/>
      <sz val="11"/>
      <color indexed="8"/>
      <name val="AcadNusx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2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164" fontId="24" fillId="0" borderId="0" applyFont="0" applyFill="0" applyBorder="0" applyAlignment="0" applyProtection="0"/>
    <xf numFmtId="6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4">
    <xf numFmtId="0" fontId="0" fillId="0" borderId="0" xfId="0"/>
    <xf numFmtId="0" fontId="29" fillId="0" borderId="13" xfId="0" applyFont="1" applyBorder="1" applyAlignment="1">
      <alignment horizontal="left" vertical="center" wrapText="1"/>
    </xf>
    <xf numFmtId="2" fontId="29" fillId="0" borderId="13" xfId="0" applyNumberFormat="1" applyFont="1" applyBorder="1" applyAlignment="1">
      <alignment horizontal="left" vertical="center" wrapText="1"/>
    </xf>
    <xf numFmtId="167" fontId="29" fillId="0" borderId="13" xfId="0" applyNumberFormat="1" applyFont="1" applyBorder="1" applyAlignment="1">
      <alignment horizontal="left" vertical="center" wrapText="1"/>
    </xf>
    <xf numFmtId="2" fontId="21" fillId="0" borderId="0" xfId="269" applyNumberFormat="1" applyFont="1" applyAlignment="1" applyProtection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2" fontId="30" fillId="0" borderId="13" xfId="0" applyNumberFormat="1" applyFont="1" applyBorder="1" applyAlignment="1">
      <alignment horizontal="left" vertical="center" wrapText="1"/>
    </xf>
    <xf numFmtId="167" fontId="30" fillId="0" borderId="13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2" fontId="20" fillId="0" borderId="13" xfId="274" applyNumberFormat="1" applyFont="1" applyFill="1" applyBorder="1" applyAlignment="1" applyProtection="1">
      <alignment horizontal="left" vertical="center" wrapText="1"/>
    </xf>
    <xf numFmtId="167" fontId="20" fillId="0" borderId="13" xfId="274" applyNumberFormat="1" applyFont="1" applyFill="1" applyBorder="1" applyAlignment="1" applyProtection="1">
      <alignment horizontal="left" vertical="center" wrapText="1"/>
    </xf>
    <xf numFmtId="2" fontId="21" fillId="0" borderId="0" xfId="289" applyNumberFormat="1" applyFont="1" applyFill="1" applyBorder="1" applyAlignment="1" applyProtection="1">
      <alignment horizontal="left" vertical="center" wrapText="1"/>
    </xf>
    <xf numFmtId="167" fontId="21" fillId="0" borderId="0" xfId="269" applyNumberFormat="1" applyFont="1" applyFill="1" applyBorder="1" applyAlignment="1" applyProtection="1">
      <alignment horizontal="left" vertical="center" wrapText="1"/>
    </xf>
    <xf numFmtId="2" fontId="21" fillId="0" borderId="0" xfId="192" applyNumberFormat="1" applyFont="1" applyFill="1" applyBorder="1" applyAlignment="1" applyProtection="1">
      <alignment horizontal="left" vertical="center" wrapText="1"/>
    </xf>
    <xf numFmtId="2" fontId="21" fillId="0" borderId="20" xfId="192" applyNumberFormat="1" applyFont="1" applyFill="1" applyBorder="1" applyAlignment="1" applyProtection="1">
      <alignment horizontal="left" vertical="center" wrapText="1"/>
    </xf>
    <xf numFmtId="2" fontId="21" fillId="0" borderId="14" xfId="192" applyNumberFormat="1" applyFont="1" applyFill="1" applyBorder="1" applyAlignment="1" applyProtection="1">
      <alignment horizontal="left" vertical="center" wrapText="1"/>
    </xf>
    <xf numFmtId="2" fontId="21" fillId="0" borderId="18" xfId="289" applyNumberFormat="1" applyFont="1" applyFill="1" applyBorder="1" applyAlignment="1" applyProtection="1">
      <alignment horizontal="left" vertical="center" wrapText="1"/>
    </xf>
    <xf numFmtId="2" fontId="21" fillId="0" borderId="10" xfId="192" applyNumberFormat="1" applyFont="1" applyFill="1" applyBorder="1" applyAlignment="1" applyProtection="1">
      <alignment horizontal="left" vertical="center" wrapText="1"/>
    </xf>
    <xf numFmtId="167" fontId="21" fillId="0" borderId="14" xfId="196" applyNumberFormat="1" applyFont="1" applyFill="1" applyBorder="1" applyAlignment="1" applyProtection="1">
      <alignment horizontal="left" vertical="center" wrapText="1"/>
    </xf>
    <xf numFmtId="167" fontId="21" fillId="0" borderId="11" xfId="196" applyNumberFormat="1" applyFont="1" applyFill="1" applyBorder="1" applyAlignment="1" applyProtection="1">
      <alignment horizontal="left" vertical="center" wrapText="1"/>
    </xf>
    <xf numFmtId="2" fontId="21" fillId="0" borderId="11" xfId="192" applyNumberFormat="1" applyFont="1" applyFill="1" applyBorder="1" applyAlignment="1" applyProtection="1">
      <alignment horizontal="left" vertical="center" wrapText="1"/>
    </xf>
    <xf numFmtId="167" fontId="21" fillId="0" borderId="13" xfId="196" applyNumberFormat="1" applyFont="1" applyFill="1" applyBorder="1" applyAlignment="1" applyProtection="1">
      <alignment horizontal="left" vertical="center" wrapText="1"/>
    </xf>
    <xf numFmtId="2" fontId="21" fillId="0" borderId="12" xfId="192" applyNumberFormat="1" applyFont="1" applyFill="1" applyBorder="1" applyAlignment="1" applyProtection="1">
      <alignment horizontal="left" vertical="center" wrapText="1"/>
    </xf>
    <xf numFmtId="2" fontId="21" fillId="0" borderId="13" xfId="192" applyNumberFormat="1" applyFont="1" applyFill="1" applyBorder="1" applyAlignment="1" applyProtection="1">
      <alignment horizontal="left" vertical="center" wrapText="1"/>
    </xf>
    <xf numFmtId="2" fontId="20" fillId="0" borderId="13" xfId="0" applyNumberFormat="1" applyFont="1" applyFill="1" applyBorder="1" applyAlignment="1" applyProtection="1">
      <alignment horizontal="left" vertical="center" wrapText="1"/>
    </xf>
    <xf numFmtId="167" fontId="20" fillId="0" borderId="13" xfId="0" applyNumberFormat="1" applyFont="1" applyFill="1" applyBorder="1" applyAlignment="1" applyProtection="1">
      <alignment horizontal="left" vertical="center" wrapText="1"/>
    </xf>
    <xf numFmtId="2" fontId="21" fillId="0" borderId="13" xfId="0" applyNumberFormat="1" applyFont="1" applyFill="1" applyBorder="1" applyAlignment="1" applyProtection="1">
      <alignment horizontal="left" vertical="center" wrapText="1"/>
    </xf>
    <xf numFmtId="1" fontId="20" fillId="0" borderId="13" xfId="0" applyNumberFormat="1" applyFont="1" applyFill="1" applyBorder="1" applyAlignment="1" applyProtection="1">
      <alignment horizontal="left" vertical="center" wrapText="1"/>
    </xf>
    <xf numFmtId="2" fontId="21" fillId="0" borderId="0" xfId="290" applyNumberFormat="1" applyFont="1" applyAlignment="1" applyProtection="1">
      <alignment horizontal="left" vertical="center" wrapText="1"/>
    </xf>
    <xf numFmtId="1" fontId="21" fillId="0" borderId="13" xfId="290" applyNumberFormat="1" applyFont="1" applyFill="1" applyBorder="1" applyAlignment="1" applyProtection="1">
      <alignment horizontal="left" vertical="center" wrapText="1"/>
    </xf>
    <xf numFmtId="2" fontId="21" fillId="0" borderId="13" xfId="290" applyNumberFormat="1" applyFont="1" applyFill="1" applyBorder="1" applyAlignment="1" applyProtection="1">
      <alignment horizontal="left" vertical="center" wrapText="1"/>
    </xf>
    <xf numFmtId="167" fontId="21" fillId="0" borderId="13" xfId="290" applyNumberFormat="1" applyFont="1" applyFill="1" applyBorder="1" applyAlignment="1" applyProtection="1">
      <alignment horizontal="left" vertical="center" wrapText="1"/>
    </xf>
    <xf numFmtId="2" fontId="20" fillId="0" borderId="13" xfId="290" applyNumberFormat="1" applyFont="1" applyFill="1" applyBorder="1" applyAlignment="1" applyProtection="1">
      <alignment horizontal="left" vertical="center" wrapText="1"/>
    </xf>
    <xf numFmtId="167" fontId="20" fillId="0" borderId="13" xfId="290" applyNumberFormat="1" applyFont="1" applyFill="1" applyBorder="1" applyAlignment="1" applyProtection="1">
      <alignment horizontal="left" vertical="center" wrapText="1"/>
    </xf>
    <xf numFmtId="2" fontId="20" fillId="0" borderId="0" xfId="269" applyNumberFormat="1" applyFont="1" applyFill="1" applyAlignment="1" applyProtection="1">
      <alignment horizontal="left" vertical="center" wrapText="1"/>
    </xf>
    <xf numFmtId="167" fontId="21" fillId="0" borderId="0" xfId="269" applyNumberFormat="1" applyFont="1" applyFill="1" applyAlignment="1" applyProtection="1">
      <alignment horizontal="left" vertical="center" wrapText="1"/>
    </xf>
    <xf numFmtId="2" fontId="21" fillId="0" borderId="0" xfId="192" applyNumberFormat="1" applyFont="1" applyFill="1" applyAlignment="1" applyProtection="1">
      <alignment horizontal="left" vertical="center" wrapText="1"/>
    </xf>
    <xf numFmtId="2" fontId="21" fillId="0" borderId="19" xfId="192" applyNumberFormat="1" applyFont="1" applyFill="1" applyBorder="1" applyAlignment="1" applyProtection="1">
      <alignment horizontal="left" vertical="center" wrapText="1"/>
    </xf>
    <xf numFmtId="167" fontId="21" fillId="0" borderId="19" xfId="192" applyNumberFormat="1" applyFont="1" applyFill="1" applyBorder="1" applyAlignment="1" applyProtection="1">
      <alignment horizontal="left" vertical="center" wrapText="1"/>
    </xf>
    <xf numFmtId="2" fontId="28" fillId="0" borderId="13" xfId="303" applyNumberFormat="1" applyFont="1" applyFill="1" applyBorder="1" applyAlignment="1" applyProtection="1">
      <alignment horizontal="lef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2" fontId="30" fillId="0" borderId="13" xfId="0" applyNumberFormat="1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left" vertical="center" wrapText="1"/>
    </xf>
    <xf numFmtId="2" fontId="21" fillId="0" borderId="13" xfId="274" applyNumberFormat="1" applyFont="1" applyFill="1" applyBorder="1" applyAlignment="1" applyProtection="1">
      <alignment horizontal="left" vertical="center" wrapText="1"/>
    </xf>
    <xf numFmtId="9" fontId="21" fillId="0" borderId="13" xfId="274" applyNumberFormat="1" applyFont="1" applyFill="1" applyBorder="1" applyAlignment="1" applyProtection="1">
      <alignment horizontal="left" vertical="center" wrapText="1"/>
    </xf>
    <xf numFmtId="167" fontId="21" fillId="0" borderId="13" xfId="274" applyNumberFormat="1" applyFont="1" applyFill="1" applyBorder="1" applyAlignment="1" applyProtection="1">
      <alignment horizontal="left" vertical="center" wrapText="1"/>
    </xf>
    <xf numFmtId="9" fontId="20" fillId="0" borderId="13" xfId="290" applyNumberFormat="1" applyFont="1" applyFill="1" applyBorder="1" applyAlignment="1" applyProtection="1">
      <alignment horizontal="left" vertical="center" wrapText="1"/>
    </xf>
    <xf numFmtId="2" fontId="20" fillId="0" borderId="13" xfId="0" applyNumberFormat="1" applyFont="1" applyFill="1" applyBorder="1" applyAlignment="1">
      <alignment horizontal="left" vertical="center" wrapText="1"/>
    </xf>
    <xf numFmtId="1" fontId="20" fillId="0" borderId="13" xfId="303" applyNumberFormat="1" applyFont="1" applyFill="1" applyBorder="1" applyAlignment="1" applyProtection="1">
      <alignment horizontal="left" vertical="center" wrapText="1"/>
    </xf>
    <xf numFmtId="2" fontId="20" fillId="0" borderId="13" xfId="303" applyNumberFormat="1" applyFont="1" applyFill="1" applyBorder="1" applyAlignment="1" applyProtection="1">
      <alignment horizontal="left" vertical="center" wrapText="1"/>
    </xf>
    <xf numFmtId="2" fontId="20" fillId="0" borderId="20" xfId="192" applyNumberFormat="1" applyFont="1" applyFill="1" applyBorder="1" applyAlignment="1" applyProtection="1">
      <alignment horizontal="left" vertical="center" wrapText="1"/>
    </xf>
    <xf numFmtId="2" fontId="20" fillId="0" borderId="12" xfId="192" applyNumberFormat="1" applyFont="1" applyFill="1" applyBorder="1" applyAlignment="1" applyProtection="1">
      <alignment horizontal="left" vertical="center" wrapText="1"/>
    </xf>
    <xf numFmtId="2" fontId="20" fillId="0" borderId="13" xfId="192" applyNumberFormat="1" applyFont="1" applyFill="1" applyBorder="1" applyAlignment="1" applyProtection="1">
      <alignment horizontal="left" vertical="center" wrapText="1"/>
    </xf>
    <xf numFmtId="2" fontId="20" fillId="0" borderId="0" xfId="269" applyNumberFormat="1" applyFont="1" applyAlignment="1" applyProtection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  <xf numFmtId="0" fontId="21" fillId="0" borderId="13" xfId="0" quotePrefix="1" applyFont="1" applyFill="1" applyBorder="1" applyAlignment="1">
      <alignment horizontal="left" vertical="center" wrapText="1"/>
    </xf>
    <xf numFmtId="2" fontId="21" fillId="0" borderId="13" xfId="0" applyNumberFormat="1" applyFont="1" applyFill="1" applyBorder="1" applyAlignment="1">
      <alignment horizontal="left" vertical="center" wrapText="1"/>
    </xf>
    <xf numFmtId="167" fontId="21" fillId="0" borderId="13" xfId="0" applyNumberFormat="1" applyFont="1" applyFill="1" applyBorder="1" applyAlignment="1">
      <alignment horizontal="left" vertical="center" wrapText="1"/>
    </xf>
    <xf numFmtId="167" fontId="21" fillId="0" borderId="13" xfId="0" applyNumberFormat="1" applyFont="1" applyFill="1" applyBorder="1" applyAlignment="1">
      <alignment horizontal="left" vertical="center"/>
    </xf>
    <xf numFmtId="1" fontId="20" fillId="0" borderId="0" xfId="0" applyNumberFormat="1" applyFont="1" applyFill="1" applyAlignment="1">
      <alignment horizontal="left" vertical="center"/>
    </xf>
    <xf numFmtId="1" fontId="21" fillId="0" borderId="0" xfId="0" applyNumberFormat="1" applyFont="1" applyAlignment="1">
      <alignment horizontal="left" vertical="center" wrapText="1"/>
    </xf>
    <xf numFmtId="1" fontId="21" fillId="0" borderId="0" xfId="0" applyNumberFormat="1" applyFont="1" applyFill="1" applyAlignment="1">
      <alignment horizontal="left" vertical="center" wrapText="1"/>
    </xf>
    <xf numFmtId="1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 applyProtection="1">
      <alignment horizontal="left" vertical="center" wrapText="1"/>
    </xf>
    <xf numFmtId="1" fontId="21" fillId="0" borderId="13" xfId="349" applyNumberFormat="1" applyFont="1" applyFill="1" applyBorder="1" applyAlignment="1">
      <alignment horizontal="left" vertical="center"/>
    </xf>
    <xf numFmtId="167" fontId="20" fillId="0" borderId="13" xfId="0" applyNumberFormat="1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13" xfId="349" applyFont="1" applyFill="1" applyBorder="1" applyAlignment="1">
      <alignment horizontal="left" vertical="center"/>
    </xf>
    <xf numFmtId="0" fontId="20" fillId="0" borderId="13" xfId="0" quotePrefix="1" applyFont="1" applyFill="1" applyBorder="1" applyAlignment="1">
      <alignment horizontal="left" vertical="center" wrapText="1"/>
    </xf>
    <xf numFmtId="1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24" borderId="13" xfId="347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167" fontId="20" fillId="0" borderId="13" xfId="0" applyNumberFormat="1" applyFont="1" applyBorder="1" applyAlignment="1">
      <alignment horizontal="left" vertical="center" wrapText="1"/>
    </xf>
    <xf numFmtId="2" fontId="20" fillId="0" borderId="13" xfId="0" applyNumberFormat="1" applyFont="1" applyBorder="1" applyAlignment="1">
      <alignment horizontal="left" vertical="center" wrapText="1"/>
    </xf>
    <xf numFmtId="2" fontId="21" fillId="0" borderId="13" xfId="0" applyNumberFormat="1" applyFont="1" applyBorder="1" applyAlignment="1">
      <alignment horizontal="left" vertical="center" wrapText="1"/>
    </xf>
    <xf numFmtId="2" fontId="21" fillId="24" borderId="0" xfId="350" applyNumberFormat="1" applyFont="1" applyFill="1" applyAlignment="1">
      <alignment horizontal="left" vertical="center"/>
    </xf>
    <xf numFmtId="167" fontId="21" fillId="0" borderId="13" xfId="0" applyNumberFormat="1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2" fontId="20" fillId="0" borderId="0" xfId="0" applyNumberFormat="1" applyFont="1" applyAlignment="1">
      <alignment horizontal="left" vertical="center" wrapText="1"/>
    </xf>
    <xf numFmtId="1" fontId="20" fillId="0" borderId="0" xfId="0" applyNumberFormat="1" applyFont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1" fontId="21" fillId="0" borderId="13" xfId="0" applyNumberFormat="1" applyFont="1" applyFill="1" applyBorder="1" applyAlignment="1">
      <alignment horizontal="left" vertical="center" wrapText="1"/>
    </xf>
    <xf numFmtId="2" fontId="21" fillId="0" borderId="0" xfId="0" applyNumberFormat="1" applyFont="1" applyFill="1" applyAlignment="1">
      <alignment horizontal="left" vertical="center" wrapText="1"/>
    </xf>
    <xf numFmtId="1" fontId="21" fillId="0" borderId="0" xfId="0" applyNumberFormat="1" applyFont="1" applyFill="1" applyAlignment="1">
      <alignment horizontal="left" vertical="center"/>
    </xf>
    <xf numFmtId="2" fontId="21" fillId="0" borderId="0" xfId="0" applyNumberFormat="1" applyFont="1" applyFill="1" applyAlignment="1">
      <alignment horizontal="left" vertical="center"/>
    </xf>
    <xf numFmtId="1" fontId="20" fillId="0" borderId="13" xfId="0" applyNumberFormat="1" applyFont="1" applyFill="1" applyBorder="1" applyAlignment="1">
      <alignment horizontal="left" vertical="center" wrapText="1"/>
    </xf>
    <xf numFmtId="1" fontId="21" fillId="0" borderId="13" xfId="0" applyNumberFormat="1" applyFont="1" applyFill="1" applyBorder="1" applyAlignment="1">
      <alignment horizontal="left" vertical="center"/>
    </xf>
    <xf numFmtId="2" fontId="21" fillId="0" borderId="13" xfId="0" applyNumberFormat="1" applyFont="1" applyFill="1" applyBorder="1" applyAlignment="1">
      <alignment horizontal="left" vertical="center"/>
    </xf>
    <xf numFmtId="1" fontId="21" fillId="25" borderId="0" xfId="0" applyNumberFormat="1" applyFont="1" applyFill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168" fontId="21" fillId="0" borderId="13" xfId="0" applyNumberFormat="1" applyFont="1" applyBorder="1" applyAlignment="1">
      <alignment horizontal="left" vertical="center" wrapText="1"/>
    </xf>
    <xf numFmtId="1" fontId="21" fillId="0" borderId="0" xfId="0" applyNumberFormat="1" applyFont="1" applyFill="1" applyAlignment="1" applyProtection="1">
      <alignment horizontal="left" vertical="center" wrapText="1"/>
    </xf>
    <xf numFmtId="2" fontId="21" fillId="0" borderId="0" xfId="0" applyNumberFormat="1" applyFont="1" applyFill="1" applyAlignment="1" applyProtection="1">
      <alignment horizontal="left" vertical="center" wrapText="1"/>
    </xf>
    <xf numFmtId="2" fontId="20" fillId="0" borderId="13" xfId="351" applyNumberFormat="1" applyFont="1" applyFill="1" applyBorder="1" applyAlignment="1" applyProtection="1">
      <alignment horizontal="left" vertical="center" wrapText="1"/>
    </xf>
    <xf numFmtId="167" fontId="20" fillId="0" borderId="13" xfId="351" applyNumberFormat="1" applyFont="1" applyFill="1" applyBorder="1" applyAlignment="1" applyProtection="1">
      <alignment horizontal="left" vertical="center" wrapText="1"/>
    </xf>
    <xf numFmtId="2" fontId="21" fillId="0" borderId="0" xfId="0" applyNumberFormat="1" applyFont="1" applyAlignment="1">
      <alignment horizontal="left" vertical="center" wrapText="1"/>
    </xf>
    <xf numFmtId="1" fontId="20" fillId="0" borderId="0" xfId="0" applyNumberFormat="1" applyFont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1" fontId="21" fillId="0" borderId="0" xfId="0" applyNumberFormat="1" applyFont="1" applyBorder="1" applyAlignment="1">
      <alignment horizontal="left" vertical="center"/>
    </xf>
    <xf numFmtId="2" fontId="21" fillId="0" borderId="0" xfId="0" applyNumberFormat="1" applyFont="1" applyBorder="1" applyAlignment="1">
      <alignment horizontal="left" vertical="center"/>
    </xf>
    <xf numFmtId="2" fontId="21" fillId="0" borderId="13" xfId="0" applyNumberFormat="1" applyFont="1" applyBorder="1" applyAlignment="1">
      <alignment horizontal="left" vertical="center"/>
    </xf>
    <xf numFmtId="1" fontId="21" fillId="0" borderId="13" xfId="0" applyNumberFormat="1" applyFont="1" applyFill="1" applyBorder="1" applyAlignment="1" applyProtection="1">
      <alignment horizontal="left" vertical="center" wrapText="1"/>
    </xf>
    <xf numFmtId="167" fontId="21" fillId="0" borderId="13" xfId="0" applyNumberFormat="1" applyFont="1" applyFill="1" applyBorder="1" applyAlignment="1" applyProtection="1">
      <alignment horizontal="left" vertical="center" wrapText="1"/>
    </xf>
    <xf numFmtId="1" fontId="21" fillId="24" borderId="0" xfId="0" applyNumberFormat="1" applyFont="1" applyFill="1" applyAlignment="1">
      <alignment horizontal="left" vertical="center"/>
    </xf>
    <xf numFmtId="2" fontId="21" fillId="24" borderId="0" xfId="0" applyNumberFormat="1" applyFont="1" applyFill="1" applyAlignment="1">
      <alignment horizontal="left" vertical="center"/>
    </xf>
    <xf numFmtId="167" fontId="21" fillId="26" borderId="13" xfId="196" applyNumberFormat="1" applyFont="1" applyFill="1" applyBorder="1" applyAlignment="1" applyProtection="1">
      <alignment horizontal="left" vertical="center" wrapText="1"/>
    </xf>
    <xf numFmtId="2" fontId="21" fillId="26" borderId="20" xfId="192" applyNumberFormat="1" applyFont="1" applyFill="1" applyBorder="1" applyAlignment="1" applyProtection="1">
      <alignment horizontal="left" vertical="center" wrapText="1"/>
    </xf>
    <xf numFmtId="2" fontId="21" fillId="26" borderId="12" xfId="192" applyNumberFormat="1" applyFont="1" applyFill="1" applyBorder="1" applyAlignment="1" applyProtection="1">
      <alignment horizontal="left" vertical="center" wrapText="1"/>
    </xf>
    <xf numFmtId="2" fontId="21" fillId="26" borderId="13" xfId="192" applyNumberFormat="1" applyFont="1" applyFill="1" applyBorder="1" applyAlignment="1" applyProtection="1">
      <alignment horizontal="left" vertical="center" wrapText="1"/>
    </xf>
    <xf numFmtId="2" fontId="21" fillId="0" borderId="0" xfId="0" applyNumberFormat="1" applyFont="1" applyFill="1" applyBorder="1" applyAlignment="1">
      <alignment horizontal="left" vertical="center" wrapText="1"/>
    </xf>
    <xf numFmtId="167" fontId="21" fillId="24" borderId="13" xfId="0" applyNumberFormat="1" applyFont="1" applyFill="1" applyBorder="1" applyAlignment="1">
      <alignment horizontal="left" vertical="center" wrapText="1"/>
    </xf>
    <xf numFmtId="1" fontId="21" fillId="24" borderId="0" xfId="0" applyNumberFormat="1" applyFont="1" applyFill="1" applyBorder="1" applyAlignment="1">
      <alignment horizontal="left" vertical="center" wrapText="1"/>
    </xf>
    <xf numFmtId="2" fontId="21" fillId="24" borderId="0" xfId="0" applyNumberFormat="1" applyFont="1" applyFill="1" applyBorder="1" applyAlignment="1">
      <alignment horizontal="left" vertical="center" wrapText="1"/>
    </xf>
    <xf numFmtId="1" fontId="21" fillId="0" borderId="0" xfId="0" applyNumberFormat="1" applyFont="1" applyBorder="1" applyAlignment="1">
      <alignment horizontal="left" vertical="center" wrapText="1"/>
    </xf>
    <xf numFmtId="49" fontId="20" fillId="0" borderId="13" xfId="0" applyNumberFormat="1" applyFont="1" applyFill="1" applyBorder="1" applyAlignment="1">
      <alignment horizontal="left" vertical="center" wrapText="1"/>
    </xf>
    <xf numFmtId="16" fontId="20" fillId="24" borderId="13" xfId="347" applyNumberFormat="1" applyFont="1" applyFill="1" applyBorder="1" applyAlignment="1">
      <alignment horizontal="left" vertical="center" wrapText="1"/>
    </xf>
    <xf numFmtId="0" fontId="20" fillId="24" borderId="13" xfId="347" applyFont="1" applyFill="1" applyBorder="1" applyAlignment="1">
      <alignment horizontal="left" vertical="center" wrapText="1"/>
    </xf>
    <xf numFmtId="2" fontId="20" fillId="24" borderId="13" xfId="348" applyNumberFormat="1" applyFont="1" applyFill="1" applyBorder="1" applyAlignment="1">
      <alignment horizontal="left" vertical="center"/>
    </xf>
    <xf numFmtId="168" fontId="21" fillId="24" borderId="13" xfId="348" applyNumberFormat="1" applyFont="1" applyFill="1" applyBorder="1" applyAlignment="1">
      <alignment horizontal="left" vertical="center"/>
    </xf>
    <xf numFmtId="2" fontId="21" fillId="24" borderId="13" xfId="348" applyNumberFormat="1" applyFont="1" applyFill="1" applyBorder="1" applyAlignment="1">
      <alignment horizontal="left" vertical="center"/>
    </xf>
    <xf numFmtId="0" fontId="21" fillId="24" borderId="0" xfId="0" applyFont="1" applyFill="1" applyAlignment="1">
      <alignment horizontal="left" vertical="center"/>
    </xf>
    <xf numFmtId="0" fontId="21" fillId="24" borderId="13" xfId="347" applyFont="1" applyFill="1" applyBorder="1" applyAlignment="1">
      <alignment horizontal="left" vertical="center"/>
    </xf>
    <xf numFmtId="1" fontId="21" fillId="0" borderId="0" xfId="350" applyNumberFormat="1" applyFont="1" applyAlignment="1" applyProtection="1">
      <alignment horizontal="left" vertical="center" wrapText="1"/>
    </xf>
    <xf numFmtId="0" fontId="21" fillId="0" borderId="13" xfId="347" applyFont="1" applyFill="1" applyBorder="1" applyAlignment="1">
      <alignment horizontal="left" vertical="center" wrapText="1"/>
    </xf>
    <xf numFmtId="0" fontId="20" fillId="0" borderId="13" xfId="347" applyFont="1" applyFill="1" applyBorder="1" applyAlignment="1">
      <alignment horizontal="left" vertical="center" wrapText="1"/>
    </xf>
    <xf numFmtId="168" fontId="20" fillId="24" borderId="13" xfId="348" applyNumberFormat="1" applyFont="1" applyFill="1" applyBorder="1" applyAlignment="1">
      <alignment horizontal="left" vertical="center"/>
    </xf>
    <xf numFmtId="2" fontId="28" fillId="26" borderId="13" xfId="303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/>
    </xf>
    <xf numFmtId="2" fontId="20" fillId="0" borderId="0" xfId="269" applyNumberFormat="1" applyFont="1" applyFill="1" applyBorder="1" applyAlignment="1" applyProtection="1">
      <alignment horizontal="left" vertical="center" wrapText="1"/>
    </xf>
    <xf numFmtId="2" fontId="20" fillId="0" borderId="19" xfId="192" applyNumberFormat="1" applyFont="1" applyFill="1" applyBorder="1" applyAlignment="1" applyProtection="1">
      <alignment horizontal="left" vertical="center" wrapText="1"/>
    </xf>
    <xf numFmtId="2" fontId="20" fillId="0" borderId="12" xfId="322" applyNumberFormat="1" applyFont="1" applyFill="1" applyBorder="1" applyAlignment="1" applyProtection="1">
      <alignment horizontal="left" vertical="center" wrapText="1"/>
    </xf>
    <xf numFmtId="2" fontId="20" fillId="26" borderId="12" xfId="322" applyNumberFormat="1" applyFont="1" applyFill="1" applyBorder="1" applyAlignment="1" applyProtection="1">
      <alignment horizontal="left" vertical="center" wrapText="1"/>
    </xf>
    <xf numFmtId="167" fontId="20" fillId="0" borderId="0" xfId="192" applyNumberFormat="1" applyFont="1" applyFill="1" applyAlignment="1" applyProtection="1">
      <alignment horizontal="left" vertical="center" wrapText="1"/>
    </xf>
    <xf numFmtId="167" fontId="20" fillId="0" borderId="0" xfId="192" applyNumberFormat="1" applyFont="1" applyFill="1" applyBorder="1" applyAlignment="1" applyProtection="1">
      <alignment horizontal="left" vertical="center" wrapText="1"/>
    </xf>
    <xf numFmtId="167" fontId="20" fillId="0" borderId="19" xfId="192" applyNumberFormat="1" applyFont="1" applyFill="1" applyBorder="1" applyAlignment="1" applyProtection="1">
      <alignment horizontal="left" vertical="center" wrapText="1"/>
    </xf>
    <xf numFmtId="167" fontId="20" fillId="0" borderId="14" xfId="192" applyNumberFormat="1" applyFont="1" applyFill="1" applyBorder="1" applyAlignment="1" applyProtection="1">
      <alignment horizontal="left" vertical="center" wrapText="1"/>
    </xf>
    <xf numFmtId="167" fontId="20" fillId="0" borderId="11" xfId="192" applyNumberFormat="1" applyFont="1" applyFill="1" applyBorder="1" applyAlignment="1" applyProtection="1">
      <alignment horizontal="left" vertical="center" wrapText="1"/>
    </xf>
    <xf numFmtId="167" fontId="20" fillId="0" borderId="15" xfId="192" applyNumberFormat="1" applyFont="1" applyFill="1" applyBorder="1" applyAlignment="1" applyProtection="1">
      <alignment horizontal="left" vertical="center" wrapText="1"/>
    </xf>
    <xf numFmtId="167" fontId="20" fillId="26" borderId="15" xfId="192" applyNumberFormat="1" applyFont="1" applyFill="1" applyBorder="1" applyAlignment="1" applyProtection="1">
      <alignment horizontal="left" vertical="center" wrapText="1"/>
    </xf>
    <xf numFmtId="2" fontId="20" fillId="0" borderId="19" xfId="303" applyNumberFormat="1" applyFont="1" applyFill="1" applyBorder="1" applyAlignment="1" applyProtection="1">
      <alignment horizontal="left" vertical="center" wrapText="1"/>
    </xf>
    <xf numFmtId="2" fontId="20" fillId="26" borderId="13" xfId="303" applyNumberFormat="1" applyFont="1" applyFill="1" applyBorder="1" applyAlignment="1" applyProtection="1">
      <alignment horizontal="left" vertical="center" wrapText="1"/>
    </xf>
    <xf numFmtId="1" fontId="20" fillId="0" borderId="0" xfId="269" applyNumberFormat="1" applyFont="1" applyFill="1" applyAlignment="1" applyProtection="1">
      <alignment horizontal="left" vertical="center" wrapText="1"/>
    </xf>
    <xf numFmtId="1" fontId="20" fillId="0" borderId="19" xfId="192" applyNumberFormat="1" applyFont="1" applyFill="1" applyBorder="1" applyAlignment="1" applyProtection="1">
      <alignment horizontal="left" vertical="center" wrapText="1"/>
    </xf>
    <xf numFmtId="2" fontId="21" fillId="0" borderId="0" xfId="269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 wrapText="1"/>
    </xf>
    <xf numFmtId="0" fontId="34" fillId="0" borderId="0" xfId="0" applyNumberFormat="1" applyFont="1" applyFill="1" applyAlignment="1">
      <alignment horizontal="center" vertical="center"/>
    </xf>
    <xf numFmtId="0" fontId="20" fillId="0" borderId="13" xfId="269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4" fillId="26" borderId="0" xfId="0" applyFont="1" applyFill="1" applyAlignment="1">
      <alignment vertical="center"/>
    </xf>
    <xf numFmtId="0" fontId="34" fillId="27" borderId="0" xfId="0" applyFont="1" applyFill="1" applyAlignment="1">
      <alignment vertical="center"/>
    </xf>
    <xf numFmtId="0" fontId="35" fillId="24" borderId="13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3" xfId="0" applyNumberFormat="1" applyFont="1" applyFill="1" applyBorder="1" applyAlignment="1">
      <alignment horizontal="center" vertical="center"/>
    </xf>
    <xf numFmtId="0" fontId="35" fillId="24" borderId="0" xfId="0" applyFont="1" applyFill="1" applyAlignment="1">
      <alignment vertical="center"/>
    </xf>
    <xf numFmtId="0" fontId="34" fillId="24" borderId="13" xfId="0" applyFont="1" applyFill="1" applyBorder="1" applyAlignment="1">
      <alignment horizontal="center" vertical="center"/>
    </xf>
    <xf numFmtId="0" fontId="34" fillId="24" borderId="13" xfId="0" applyNumberFormat="1" applyFont="1" applyFill="1" applyBorder="1" applyAlignment="1">
      <alignment horizontal="center" vertical="center"/>
    </xf>
    <xf numFmtId="0" fontId="34" fillId="24" borderId="0" xfId="0" applyFont="1" applyFill="1" applyAlignment="1">
      <alignment vertical="center"/>
    </xf>
    <xf numFmtId="2" fontId="35" fillId="24" borderId="13" xfId="0" applyNumberFormat="1" applyFont="1" applyFill="1" applyBorder="1" applyAlignment="1">
      <alignment horizontal="center" vertical="center"/>
    </xf>
    <xf numFmtId="9" fontId="35" fillId="24" borderId="13" xfId="0" applyNumberFormat="1" applyFont="1" applyFill="1" applyBorder="1" applyAlignment="1">
      <alignment horizontal="center" vertical="center"/>
    </xf>
    <xf numFmtId="2" fontId="35" fillId="24" borderId="0" xfId="0" applyNumberFormat="1" applyFont="1" applyFill="1" applyAlignment="1">
      <alignment vertical="center"/>
    </xf>
    <xf numFmtId="0" fontId="34" fillId="24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center"/>
    </xf>
    <xf numFmtId="0" fontId="34" fillId="24" borderId="0" xfId="0" applyNumberFormat="1" applyFont="1" applyFill="1" applyAlignment="1">
      <alignment horizontal="center" vertical="center"/>
    </xf>
    <xf numFmtId="0" fontId="37" fillId="24" borderId="0" xfId="0" applyNumberFormat="1" applyFont="1" applyFill="1" applyAlignment="1">
      <alignment horizontal="left" vertical="center"/>
    </xf>
    <xf numFmtId="0" fontId="37" fillId="24" borderId="0" xfId="0" applyFont="1" applyFill="1" applyAlignment="1">
      <alignment vertical="center"/>
    </xf>
    <xf numFmtId="0" fontId="37" fillId="24" borderId="0" xfId="0" applyNumberFormat="1" applyFont="1" applyFill="1" applyAlignment="1">
      <alignment horizontal="center" vertical="center"/>
    </xf>
    <xf numFmtId="0" fontId="20" fillId="24" borderId="0" xfId="0" applyNumberFormat="1" applyFont="1" applyFill="1" applyAlignment="1">
      <alignment horizontal="left" vertical="center"/>
    </xf>
    <xf numFmtId="0" fontId="37" fillId="24" borderId="0" xfId="0" applyNumberFormat="1" applyFont="1" applyFill="1" applyAlignment="1">
      <alignment horizontal="center" vertical="center" wrapText="1"/>
    </xf>
    <xf numFmtId="0" fontId="37" fillId="24" borderId="0" xfId="0" applyFont="1" applyFill="1" applyAlignment="1">
      <alignment horizontal="center" vertical="center"/>
    </xf>
    <xf numFmtId="0" fontId="34" fillId="24" borderId="13" xfId="0" applyFont="1" applyFill="1" applyBorder="1" applyAlignment="1">
      <alignment horizontal="center" vertical="center" wrapText="1"/>
    </xf>
    <xf numFmtId="2" fontId="34" fillId="24" borderId="13" xfId="0" applyNumberFormat="1" applyFont="1" applyFill="1" applyBorder="1" applyAlignment="1">
      <alignment horizontal="center" vertical="center"/>
    </xf>
    <xf numFmtId="2" fontId="21" fillId="0" borderId="13" xfId="322" applyNumberFormat="1" applyFont="1" applyFill="1" applyBorder="1" applyAlignment="1" applyProtection="1">
      <alignment horizontal="center" vertical="center" wrapText="1"/>
    </xf>
    <xf numFmtId="0" fontId="21" fillId="0" borderId="13" xfId="192" applyNumberFormat="1" applyFont="1" applyFill="1" applyBorder="1" applyAlignment="1" applyProtection="1">
      <alignment horizontal="center" vertical="center" wrapText="1"/>
    </xf>
    <xf numFmtId="0" fontId="21" fillId="0" borderId="13" xfId="269" applyNumberFormat="1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0" fontId="34" fillId="0" borderId="13" xfId="0" applyNumberFormat="1" applyFont="1" applyFill="1" applyBorder="1" applyAlignment="1">
      <alignment horizontal="center" vertical="center"/>
    </xf>
    <xf numFmtId="1" fontId="21" fillId="0" borderId="13" xfId="303" applyNumberFormat="1" applyFont="1" applyFill="1" applyBorder="1" applyAlignment="1" applyProtection="1">
      <alignment horizontal="center" vertical="center" wrapText="1"/>
    </xf>
    <xf numFmtId="0" fontId="34" fillId="28" borderId="13" xfId="0" applyNumberFormat="1" applyFont="1" applyFill="1" applyBorder="1" applyAlignment="1">
      <alignment horizontal="center" vertical="center"/>
    </xf>
    <xf numFmtId="0" fontId="21" fillId="28" borderId="13" xfId="269" applyNumberFormat="1" applyFont="1" applyFill="1" applyBorder="1" applyAlignment="1" applyProtection="1">
      <alignment horizontal="center" vertical="center" wrapText="1"/>
    </xf>
    <xf numFmtId="2" fontId="21" fillId="0" borderId="13" xfId="303" applyNumberFormat="1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2" fontId="34" fillId="0" borderId="13" xfId="0" applyNumberFormat="1" applyFont="1" applyFill="1" applyBorder="1" applyAlignment="1">
      <alignment horizontal="center" vertical="center"/>
    </xf>
    <xf numFmtId="2" fontId="21" fillId="0" borderId="17" xfId="192" applyNumberFormat="1" applyFont="1" applyFill="1" applyBorder="1" applyAlignment="1" applyProtection="1">
      <alignment horizontal="left" vertical="center" wrapText="1"/>
    </xf>
    <xf numFmtId="2" fontId="21" fillId="0" borderId="16" xfId="192" applyNumberFormat="1" applyFont="1" applyFill="1" applyBorder="1" applyAlignment="1" applyProtection="1">
      <alignment horizontal="left" vertical="center" wrapText="1"/>
    </xf>
    <xf numFmtId="2" fontId="21" fillId="0" borderId="21" xfId="192" applyNumberFormat="1" applyFont="1" applyFill="1" applyBorder="1" applyAlignment="1" applyProtection="1">
      <alignment horizontal="left" vertical="center" wrapText="1"/>
    </xf>
    <xf numFmtId="2" fontId="21" fillId="0" borderId="22" xfId="192" applyNumberFormat="1" applyFont="1" applyFill="1" applyBorder="1" applyAlignment="1" applyProtection="1">
      <alignment horizontal="left" vertical="center" wrapText="1"/>
    </xf>
    <xf numFmtId="2" fontId="20" fillId="0" borderId="14" xfId="322" applyNumberFormat="1" applyFont="1" applyFill="1" applyBorder="1" applyAlignment="1" applyProtection="1">
      <alignment horizontal="left" vertical="center" wrapText="1"/>
    </xf>
    <xf numFmtId="2" fontId="20" fillId="0" borderId="10" xfId="322" applyNumberFormat="1" applyFont="1" applyFill="1" applyBorder="1" applyAlignment="1" applyProtection="1">
      <alignment horizontal="left" vertical="center" wrapText="1"/>
    </xf>
    <xf numFmtId="2" fontId="20" fillId="0" borderId="11" xfId="322" applyNumberFormat="1" applyFont="1" applyFill="1" applyBorder="1" applyAlignment="1" applyProtection="1">
      <alignment horizontal="left" vertical="center" wrapText="1"/>
    </xf>
    <xf numFmtId="1" fontId="20" fillId="0" borderId="14" xfId="303" applyNumberFormat="1" applyFont="1" applyFill="1" applyBorder="1" applyAlignment="1" applyProtection="1">
      <alignment horizontal="left" vertical="center" wrapText="1"/>
    </xf>
    <xf numFmtId="1" fontId="20" fillId="0" borderId="10" xfId="303" applyNumberFormat="1" applyFont="1" applyFill="1" applyBorder="1" applyAlignment="1" applyProtection="1">
      <alignment horizontal="left" vertical="center" wrapText="1"/>
    </xf>
    <xf numFmtId="1" fontId="20" fillId="0" borderId="11" xfId="303" applyNumberFormat="1" applyFont="1" applyFill="1" applyBorder="1" applyAlignment="1" applyProtection="1">
      <alignment horizontal="left" vertical="center" wrapText="1"/>
    </xf>
    <xf numFmtId="2" fontId="20" fillId="0" borderId="14" xfId="303" applyNumberFormat="1" applyFont="1" applyFill="1" applyBorder="1" applyAlignment="1" applyProtection="1">
      <alignment horizontal="left" vertical="center" wrapText="1"/>
    </xf>
    <xf numFmtId="2" fontId="20" fillId="0" borderId="10" xfId="303" applyNumberFormat="1" applyFont="1" applyFill="1" applyBorder="1" applyAlignment="1" applyProtection="1">
      <alignment horizontal="left" vertical="center" wrapText="1"/>
    </xf>
    <xf numFmtId="2" fontId="20" fillId="0" borderId="11" xfId="303" applyNumberFormat="1" applyFont="1" applyFill="1" applyBorder="1" applyAlignment="1" applyProtection="1">
      <alignment horizontal="left" vertical="center" wrapText="1"/>
    </xf>
    <xf numFmtId="167" fontId="21" fillId="0" borderId="17" xfId="196" applyNumberFormat="1" applyFont="1" applyFill="1" applyBorder="1" applyAlignment="1" applyProtection="1">
      <alignment horizontal="left" vertical="center" wrapText="1"/>
    </xf>
    <xf numFmtId="167" fontId="20" fillId="0" borderId="16" xfId="196" applyNumberFormat="1" applyFont="1" applyFill="1" applyBorder="1" applyAlignment="1" applyProtection="1">
      <alignment horizontal="left" vertical="center" wrapText="1"/>
    </xf>
    <xf numFmtId="167" fontId="21" fillId="0" borderId="21" xfId="196" applyNumberFormat="1" applyFont="1" applyFill="1" applyBorder="1" applyAlignment="1" applyProtection="1">
      <alignment horizontal="left" vertical="center" wrapText="1"/>
    </xf>
    <xf numFmtId="167" fontId="20" fillId="0" borderId="22" xfId="196" applyNumberFormat="1" applyFont="1" applyFill="1" applyBorder="1" applyAlignment="1" applyProtection="1">
      <alignment horizontal="left" vertical="center" wrapText="1"/>
    </xf>
    <xf numFmtId="0" fontId="20" fillId="24" borderId="0" xfId="0" applyFont="1" applyFill="1" applyAlignment="1">
      <alignment horizontal="left" vertical="center" wrapText="1"/>
    </xf>
    <xf numFmtId="0" fontId="20" fillId="0" borderId="13" xfId="269" applyNumberFormat="1" applyFont="1" applyFill="1" applyBorder="1" applyAlignment="1" applyProtection="1">
      <alignment horizontal="center" vertical="center" wrapText="1"/>
    </xf>
    <xf numFmtId="2" fontId="33" fillId="0" borderId="0" xfId="269" applyNumberFormat="1" applyFont="1" applyFill="1" applyBorder="1" applyAlignment="1" applyProtection="1">
      <alignment horizontal="center" vertical="center" wrapText="1"/>
    </xf>
    <xf numFmtId="1" fontId="20" fillId="0" borderId="13" xfId="303" applyNumberFormat="1" applyFont="1" applyFill="1" applyBorder="1" applyAlignment="1" applyProtection="1">
      <alignment horizontal="center" vertical="center" wrapText="1"/>
    </xf>
    <xf numFmtId="2" fontId="20" fillId="0" borderId="13" xfId="303" applyNumberFormat="1" applyFont="1" applyFill="1" applyBorder="1" applyAlignment="1" applyProtection="1">
      <alignment horizontal="center" vertical="center" wrapText="1"/>
    </xf>
    <xf numFmtId="2" fontId="20" fillId="0" borderId="13" xfId="322" applyNumberFormat="1" applyFont="1" applyFill="1" applyBorder="1" applyAlignment="1" applyProtection="1">
      <alignment horizontal="center" vertical="center" wrapText="1"/>
    </xf>
    <xf numFmtId="0" fontId="20" fillId="0" borderId="13" xfId="192" applyNumberFormat="1" applyFont="1" applyFill="1" applyBorder="1" applyAlignment="1" applyProtection="1">
      <alignment horizontal="center" vertical="center" wrapText="1"/>
    </xf>
  </cellXfs>
  <cellStyles count="352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4 2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2 2" xfId="8" xr:uid="{00000000-0005-0000-0000-000007000000}"/>
    <cellStyle name="20% - Accent2 3" xfId="9" xr:uid="{00000000-0005-0000-0000-000008000000}"/>
    <cellStyle name="20% - Accent2 4" xfId="10" xr:uid="{00000000-0005-0000-0000-000009000000}"/>
    <cellStyle name="20% - Accent2 4 2" xfId="11" xr:uid="{00000000-0005-0000-0000-00000A000000}"/>
    <cellStyle name="20% - Accent2 5" xfId="12" xr:uid="{00000000-0005-0000-0000-00000B000000}"/>
    <cellStyle name="20% - Accent2 6" xfId="13" xr:uid="{00000000-0005-0000-0000-00000C000000}"/>
    <cellStyle name="20% - Accent2 7" xfId="14" xr:uid="{00000000-0005-0000-0000-00000D000000}"/>
    <cellStyle name="20% - Accent3 2" xfId="15" xr:uid="{00000000-0005-0000-0000-00000E000000}"/>
    <cellStyle name="20% - Accent3 3" xfId="16" xr:uid="{00000000-0005-0000-0000-00000F000000}"/>
    <cellStyle name="20% - Accent3 4" xfId="17" xr:uid="{00000000-0005-0000-0000-000010000000}"/>
    <cellStyle name="20% - Accent3 4 2" xfId="18" xr:uid="{00000000-0005-0000-0000-000011000000}"/>
    <cellStyle name="20% - Accent3 5" xfId="19" xr:uid="{00000000-0005-0000-0000-000012000000}"/>
    <cellStyle name="20% - Accent3 6" xfId="20" xr:uid="{00000000-0005-0000-0000-000013000000}"/>
    <cellStyle name="20% - Accent3 7" xfId="21" xr:uid="{00000000-0005-0000-0000-000014000000}"/>
    <cellStyle name="20% - Accent4 2" xfId="22" xr:uid="{00000000-0005-0000-0000-000015000000}"/>
    <cellStyle name="20% - Accent4 3" xfId="23" xr:uid="{00000000-0005-0000-0000-000016000000}"/>
    <cellStyle name="20% - Accent4 4" xfId="24" xr:uid="{00000000-0005-0000-0000-000017000000}"/>
    <cellStyle name="20% - Accent4 4 2" xfId="25" xr:uid="{00000000-0005-0000-0000-000018000000}"/>
    <cellStyle name="20% - Accent4 5" xfId="26" xr:uid="{00000000-0005-0000-0000-000019000000}"/>
    <cellStyle name="20% - Accent4 6" xfId="27" xr:uid="{00000000-0005-0000-0000-00001A000000}"/>
    <cellStyle name="20% - Accent4 7" xfId="28" xr:uid="{00000000-0005-0000-0000-00001B000000}"/>
    <cellStyle name="20% - Accent5 2" xfId="29" xr:uid="{00000000-0005-0000-0000-00001C000000}"/>
    <cellStyle name="20% - Accent5 3" xfId="30" xr:uid="{00000000-0005-0000-0000-00001D000000}"/>
    <cellStyle name="20% - Accent5 4" xfId="31" xr:uid="{00000000-0005-0000-0000-00001E000000}"/>
    <cellStyle name="20% - Accent5 4 2" xfId="32" xr:uid="{00000000-0005-0000-0000-00001F000000}"/>
    <cellStyle name="20% - Accent5 5" xfId="33" xr:uid="{00000000-0005-0000-0000-000020000000}"/>
    <cellStyle name="20% - Accent5 6" xfId="34" xr:uid="{00000000-0005-0000-0000-000021000000}"/>
    <cellStyle name="20% - Accent5 7" xfId="35" xr:uid="{00000000-0005-0000-0000-000022000000}"/>
    <cellStyle name="20% - Accent6 2" xfId="36" xr:uid="{00000000-0005-0000-0000-000023000000}"/>
    <cellStyle name="20% - Accent6 3" xfId="37" xr:uid="{00000000-0005-0000-0000-000024000000}"/>
    <cellStyle name="20% - Accent6 4" xfId="38" xr:uid="{00000000-0005-0000-0000-000025000000}"/>
    <cellStyle name="20% - Accent6 4 2" xfId="39" xr:uid="{00000000-0005-0000-0000-000026000000}"/>
    <cellStyle name="20% - Accent6 5" xfId="40" xr:uid="{00000000-0005-0000-0000-000027000000}"/>
    <cellStyle name="20% - Accent6 6" xfId="41" xr:uid="{00000000-0005-0000-0000-000028000000}"/>
    <cellStyle name="20% - Accent6 7" xfId="42" xr:uid="{00000000-0005-0000-0000-000029000000}"/>
    <cellStyle name="40% - Accent1 2" xfId="43" xr:uid="{00000000-0005-0000-0000-00002A000000}"/>
    <cellStyle name="40% - Accent1 3" xfId="44" xr:uid="{00000000-0005-0000-0000-00002B000000}"/>
    <cellStyle name="40% - Accent1 4" xfId="45" xr:uid="{00000000-0005-0000-0000-00002C000000}"/>
    <cellStyle name="40% - Accent1 4 2" xfId="46" xr:uid="{00000000-0005-0000-0000-00002D000000}"/>
    <cellStyle name="40% - Accent1 5" xfId="47" xr:uid="{00000000-0005-0000-0000-00002E000000}"/>
    <cellStyle name="40% - Accent1 6" xfId="48" xr:uid="{00000000-0005-0000-0000-00002F000000}"/>
    <cellStyle name="40% - Accent1 7" xfId="49" xr:uid="{00000000-0005-0000-0000-000030000000}"/>
    <cellStyle name="40% - Accent2 2" xfId="50" xr:uid="{00000000-0005-0000-0000-000031000000}"/>
    <cellStyle name="40% - Accent2 3" xfId="51" xr:uid="{00000000-0005-0000-0000-000032000000}"/>
    <cellStyle name="40% - Accent2 4" xfId="52" xr:uid="{00000000-0005-0000-0000-000033000000}"/>
    <cellStyle name="40% - Accent2 4 2" xfId="53" xr:uid="{00000000-0005-0000-0000-000034000000}"/>
    <cellStyle name="40% - Accent2 5" xfId="54" xr:uid="{00000000-0005-0000-0000-000035000000}"/>
    <cellStyle name="40% - Accent2 6" xfId="55" xr:uid="{00000000-0005-0000-0000-000036000000}"/>
    <cellStyle name="40% - Accent2 7" xfId="56" xr:uid="{00000000-0005-0000-0000-000037000000}"/>
    <cellStyle name="40% - Accent3 2" xfId="57" xr:uid="{00000000-0005-0000-0000-000038000000}"/>
    <cellStyle name="40% - Accent3 3" xfId="58" xr:uid="{00000000-0005-0000-0000-000039000000}"/>
    <cellStyle name="40% - Accent3 4" xfId="59" xr:uid="{00000000-0005-0000-0000-00003A000000}"/>
    <cellStyle name="40% - Accent3 4 2" xfId="60" xr:uid="{00000000-0005-0000-0000-00003B000000}"/>
    <cellStyle name="40% - Accent3 5" xfId="61" xr:uid="{00000000-0005-0000-0000-00003C000000}"/>
    <cellStyle name="40% - Accent3 6" xfId="62" xr:uid="{00000000-0005-0000-0000-00003D000000}"/>
    <cellStyle name="40% - Accent3 7" xfId="63" xr:uid="{00000000-0005-0000-0000-00003E000000}"/>
    <cellStyle name="40% - Accent4 2" xfId="64" xr:uid="{00000000-0005-0000-0000-00003F000000}"/>
    <cellStyle name="40% - Accent4 3" xfId="65" xr:uid="{00000000-0005-0000-0000-000040000000}"/>
    <cellStyle name="40% - Accent4 4" xfId="66" xr:uid="{00000000-0005-0000-0000-000041000000}"/>
    <cellStyle name="40% - Accent4 4 2" xfId="67" xr:uid="{00000000-0005-0000-0000-000042000000}"/>
    <cellStyle name="40% - Accent4 5" xfId="68" xr:uid="{00000000-0005-0000-0000-000043000000}"/>
    <cellStyle name="40% - Accent4 6" xfId="69" xr:uid="{00000000-0005-0000-0000-000044000000}"/>
    <cellStyle name="40% - Accent4 7" xfId="70" xr:uid="{00000000-0005-0000-0000-000045000000}"/>
    <cellStyle name="40% - Accent5 2" xfId="71" xr:uid="{00000000-0005-0000-0000-000046000000}"/>
    <cellStyle name="40% - Accent5 3" xfId="72" xr:uid="{00000000-0005-0000-0000-000047000000}"/>
    <cellStyle name="40% - Accent5 4" xfId="73" xr:uid="{00000000-0005-0000-0000-000048000000}"/>
    <cellStyle name="40% - Accent5 4 2" xfId="74" xr:uid="{00000000-0005-0000-0000-000049000000}"/>
    <cellStyle name="40% - Accent5 5" xfId="75" xr:uid="{00000000-0005-0000-0000-00004A000000}"/>
    <cellStyle name="40% - Accent5 6" xfId="76" xr:uid="{00000000-0005-0000-0000-00004B000000}"/>
    <cellStyle name="40% - Accent5 7" xfId="77" xr:uid="{00000000-0005-0000-0000-00004C000000}"/>
    <cellStyle name="40% - Accent6 2" xfId="78" xr:uid="{00000000-0005-0000-0000-00004D000000}"/>
    <cellStyle name="40% - Accent6 3" xfId="79" xr:uid="{00000000-0005-0000-0000-00004E000000}"/>
    <cellStyle name="40% - Accent6 4" xfId="80" xr:uid="{00000000-0005-0000-0000-00004F000000}"/>
    <cellStyle name="40% - Accent6 4 2" xfId="81" xr:uid="{00000000-0005-0000-0000-000050000000}"/>
    <cellStyle name="40% - Accent6 5" xfId="82" xr:uid="{00000000-0005-0000-0000-000051000000}"/>
    <cellStyle name="40% - Accent6 6" xfId="83" xr:uid="{00000000-0005-0000-0000-000052000000}"/>
    <cellStyle name="40% - Accent6 7" xfId="84" xr:uid="{00000000-0005-0000-0000-000053000000}"/>
    <cellStyle name="60% - Accent1 2" xfId="85" xr:uid="{00000000-0005-0000-0000-000054000000}"/>
    <cellStyle name="60% - Accent1 3" xfId="86" xr:uid="{00000000-0005-0000-0000-000055000000}"/>
    <cellStyle name="60% - Accent1 4" xfId="87" xr:uid="{00000000-0005-0000-0000-000056000000}"/>
    <cellStyle name="60% - Accent1 4 2" xfId="88" xr:uid="{00000000-0005-0000-0000-000057000000}"/>
    <cellStyle name="60% - Accent1 5" xfId="89" xr:uid="{00000000-0005-0000-0000-000058000000}"/>
    <cellStyle name="60% - Accent1 6" xfId="90" xr:uid="{00000000-0005-0000-0000-000059000000}"/>
    <cellStyle name="60% - Accent1 7" xfId="91" xr:uid="{00000000-0005-0000-0000-00005A000000}"/>
    <cellStyle name="60% - Accent2 2" xfId="92" xr:uid="{00000000-0005-0000-0000-00005B000000}"/>
    <cellStyle name="60% - Accent2 3" xfId="93" xr:uid="{00000000-0005-0000-0000-00005C000000}"/>
    <cellStyle name="60% - Accent2 4" xfId="94" xr:uid="{00000000-0005-0000-0000-00005D000000}"/>
    <cellStyle name="60% - Accent2 4 2" xfId="95" xr:uid="{00000000-0005-0000-0000-00005E000000}"/>
    <cellStyle name="60% - Accent2 5" xfId="96" xr:uid="{00000000-0005-0000-0000-00005F000000}"/>
    <cellStyle name="60% - Accent2 6" xfId="97" xr:uid="{00000000-0005-0000-0000-000060000000}"/>
    <cellStyle name="60% - Accent2 7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3 4" xfId="101" xr:uid="{00000000-0005-0000-0000-000064000000}"/>
    <cellStyle name="60% - Accent3 4 2" xfId="102" xr:uid="{00000000-0005-0000-0000-000065000000}"/>
    <cellStyle name="60% - Accent3 5" xfId="103" xr:uid="{00000000-0005-0000-0000-000066000000}"/>
    <cellStyle name="60% - Accent3 6" xfId="104" xr:uid="{00000000-0005-0000-0000-000067000000}"/>
    <cellStyle name="60% - Accent3 7" xfId="105" xr:uid="{00000000-0005-0000-0000-000068000000}"/>
    <cellStyle name="60% - Accent4 2" xfId="106" xr:uid="{00000000-0005-0000-0000-000069000000}"/>
    <cellStyle name="60% - Accent4 3" xfId="107" xr:uid="{00000000-0005-0000-0000-00006A000000}"/>
    <cellStyle name="60% - Accent4 4" xfId="108" xr:uid="{00000000-0005-0000-0000-00006B000000}"/>
    <cellStyle name="60% - Accent4 4 2" xfId="109" xr:uid="{00000000-0005-0000-0000-00006C000000}"/>
    <cellStyle name="60% - Accent4 5" xfId="110" xr:uid="{00000000-0005-0000-0000-00006D000000}"/>
    <cellStyle name="60% - Accent4 6" xfId="111" xr:uid="{00000000-0005-0000-0000-00006E000000}"/>
    <cellStyle name="60% - Accent4 7" xfId="112" xr:uid="{00000000-0005-0000-0000-00006F000000}"/>
    <cellStyle name="60% - Accent5 2" xfId="113" xr:uid="{00000000-0005-0000-0000-000070000000}"/>
    <cellStyle name="60% - Accent5 3" xfId="114" xr:uid="{00000000-0005-0000-0000-000071000000}"/>
    <cellStyle name="60% - Accent5 4" xfId="115" xr:uid="{00000000-0005-0000-0000-000072000000}"/>
    <cellStyle name="60% - Accent5 4 2" xfId="116" xr:uid="{00000000-0005-0000-0000-000073000000}"/>
    <cellStyle name="60% - Accent5 5" xfId="117" xr:uid="{00000000-0005-0000-0000-000074000000}"/>
    <cellStyle name="60% - Accent5 6" xfId="118" xr:uid="{00000000-0005-0000-0000-000075000000}"/>
    <cellStyle name="60% - Accent5 7" xfId="119" xr:uid="{00000000-0005-0000-0000-000076000000}"/>
    <cellStyle name="60% - Accent6 2" xfId="120" xr:uid="{00000000-0005-0000-0000-000077000000}"/>
    <cellStyle name="60% - Accent6 3" xfId="121" xr:uid="{00000000-0005-0000-0000-000078000000}"/>
    <cellStyle name="60% - Accent6 4" xfId="122" xr:uid="{00000000-0005-0000-0000-000079000000}"/>
    <cellStyle name="60% - Accent6 4 2" xfId="123" xr:uid="{00000000-0005-0000-0000-00007A000000}"/>
    <cellStyle name="60% - Accent6 5" xfId="124" xr:uid="{00000000-0005-0000-0000-00007B000000}"/>
    <cellStyle name="60% - Accent6 6" xfId="125" xr:uid="{00000000-0005-0000-0000-00007C000000}"/>
    <cellStyle name="60% - Accent6 7" xfId="126" xr:uid="{00000000-0005-0000-0000-00007D000000}"/>
    <cellStyle name="Accent1 2" xfId="127" xr:uid="{00000000-0005-0000-0000-00007E000000}"/>
    <cellStyle name="Accent1 3" xfId="128" xr:uid="{00000000-0005-0000-0000-00007F000000}"/>
    <cellStyle name="Accent1 4" xfId="129" xr:uid="{00000000-0005-0000-0000-000080000000}"/>
    <cellStyle name="Accent1 4 2" xfId="130" xr:uid="{00000000-0005-0000-0000-000081000000}"/>
    <cellStyle name="Accent1 5" xfId="131" xr:uid="{00000000-0005-0000-0000-000082000000}"/>
    <cellStyle name="Accent1 6" xfId="132" xr:uid="{00000000-0005-0000-0000-000083000000}"/>
    <cellStyle name="Accent1 7" xfId="133" xr:uid="{00000000-0005-0000-0000-000084000000}"/>
    <cellStyle name="Accent2 2" xfId="134" xr:uid="{00000000-0005-0000-0000-000085000000}"/>
    <cellStyle name="Accent2 3" xfId="135" xr:uid="{00000000-0005-0000-0000-000086000000}"/>
    <cellStyle name="Accent2 4" xfId="136" xr:uid="{00000000-0005-0000-0000-000087000000}"/>
    <cellStyle name="Accent2 4 2" xfId="137" xr:uid="{00000000-0005-0000-0000-000088000000}"/>
    <cellStyle name="Accent2 5" xfId="138" xr:uid="{00000000-0005-0000-0000-000089000000}"/>
    <cellStyle name="Accent2 6" xfId="139" xr:uid="{00000000-0005-0000-0000-00008A000000}"/>
    <cellStyle name="Accent2 7" xfId="140" xr:uid="{00000000-0005-0000-0000-00008B000000}"/>
    <cellStyle name="Accent3 2" xfId="141" xr:uid="{00000000-0005-0000-0000-00008C000000}"/>
    <cellStyle name="Accent3 3" xfId="142" xr:uid="{00000000-0005-0000-0000-00008D000000}"/>
    <cellStyle name="Accent3 4" xfId="143" xr:uid="{00000000-0005-0000-0000-00008E000000}"/>
    <cellStyle name="Accent3 4 2" xfId="144" xr:uid="{00000000-0005-0000-0000-00008F000000}"/>
    <cellStyle name="Accent3 5" xfId="145" xr:uid="{00000000-0005-0000-0000-000090000000}"/>
    <cellStyle name="Accent3 6" xfId="146" xr:uid="{00000000-0005-0000-0000-000091000000}"/>
    <cellStyle name="Accent3 7" xfId="147" xr:uid="{00000000-0005-0000-0000-000092000000}"/>
    <cellStyle name="Accent4 2" xfId="148" xr:uid="{00000000-0005-0000-0000-000093000000}"/>
    <cellStyle name="Accent4 3" xfId="149" xr:uid="{00000000-0005-0000-0000-000094000000}"/>
    <cellStyle name="Accent4 4" xfId="150" xr:uid="{00000000-0005-0000-0000-000095000000}"/>
    <cellStyle name="Accent4 4 2" xfId="151" xr:uid="{00000000-0005-0000-0000-000096000000}"/>
    <cellStyle name="Accent4 5" xfId="152" xr:uid="{00000000-0005-0000-0000-000097000000}"/>
    <cellStyle name="Accent4 6" xfId="153" xr:uid="{00000000-0005-0000-0000-000098000000}"/>
    <cellStyle name="Accent4 7" xfId="154" xr:uid="{00000000-0005-0000-0000-000099000000}"/>
    <cellStyle name="Accent5 2" xfId="155" xr:uid="{00000000-0005-0000-0000-00009A000000}"/>
    <cellStyle name="Accent5 3" xfId="156" xr:uid="{00000000-0005-0000-0000-00009B000000}"/>
    <cellStyle name="Accent5 4" xfId="157" xr:uid="{00000000-0005-0000-0000-00009C000000}"/>
    <cellStyle name="Accent5 4 2" xfId="158" xr:uid="{00000000-0005-0000-0000-00009D000000}"/>
    <cellStyle name="Accent5 5" xfId="159" xr:uid="{00000000-0005-0000-0000-00009E000000}"/>
    <cellStyle name="Accent5 6" xfId="160" xr:uid="{00000000-0005-0000-0000-00009F000000}"/>
    <cellStyle name="Accent5 7" xfId="161" xr:uid="{00000000-0005-0000-0000-0000A0000000}"/>
    <cellStyle name="Accent6 2" xfId="162" xr:uid="{00000000-0005-0000-0000-0000A1000000}"/>
    <cellStyle name="Accent6 3" xfId="163" xr:uid="{00000000-0005-0000-0000-0000A2000000}"/>
    <cellStyle name="Accent6 4" xfId="164" xr:uid="{00000000-0005-0000-0000-0000A3000000}"/>
    <cellStyle name="Accent6 4 2" xfId="165" xr:uid="{00000000-0005-0000-0000-0000A4000000}"/>
    <cellStyle name="Accent6 5" xfId="166" xr:uid="{00000000-0005-0000-0000-0000A5000000}"/>
    <cellStyle name="Accent6 6" xfId="167" xr:uid="{00000000-0005-0000-0000-0000A6000000}"/>
    <cellStyle name="Accent6 7" xfId="168" xr:uid="{00000000-0005-0000-0000-0000A7000000}"/>
    <cellStyle name="Bad 2" xfId="169" xr:uid="{00000000-0005-0000-0000-0000A8000000}"/>
    <cellStyle name="Bad 3" xfId="170" xr:uid="{00000000-0005-0000-0000-0000A9000000}"/>
    <cellStyle name="Bad 4" xfId="171" xr:uid="{00000000-0005-0000-0000-0000AA000000}"/>
    <cellStyle name="Bad 4 2" xfId="172" xr:uid="{00000000-0005-0000-0000-0000AB000000}"/>
    <cellStyle name="Bad 5" xfId="173" xr:uid="{00000000-0005-0000-0000-0000AC000000}"/>
    <cellStyle name="Bad 6" xfId="174" xr:uid="{00000000-0005-0000-0000-0000AD000000}"/>
    <cellStyle name="Bad 7" xfId="175" xr:uid="{00000000-0005-0000-0000-0000AE000000}"/>
    <cellStyle name="Calculation 2" xfId="176" xr:uid="{00000000-0005-0000-0000-0000AF000000}"/>
    <cellStyle name="Calculation 3" xfId="177" xr:uid="{00000000-0005-0000-0000-0000B0000000}"/>
    <cellStyle name="Calculation 4" xfId="178" xr:uid="{00000000-0005-0000-0000-0000B1000000}"/>
    <cellStyle name="Calculation 4 2" xfId="179" xr:uid="{00000000-0005-0000-0000-0000B2000000}"/>
    <cellStyle name="Calculation 4_SAN2009-IIIxlsx" xfId="180" xr:uid="{00000000-0005-0000-0000-0000B3000000}"/>
    <cellStyle name="Calculation 5" xfId="181" xr:uid="{00000000-0005-0000-0000-0000B4000000}"/>
    <cellStyle name="Calculation 6" xfId="182" xr:uid="{00000000-0005-0000-0000-0000B5000000}"/>
    <cellStyle name="Calculation 7" xfId="183" xr:uid="{00000000-0005-0000-0000-0000B6000000}"/>
    <cellStyle name="Check Cell 2" xfId="184" xr:uid="{00000000-0005-0000-0000-0000B7000000}"/>
    <cellStyle name="Check Cell 3" xfId="185" xr:uid="{00000000-0005-0000-0000-0000B8000000}"/>
    <cellStyle name="Check Cell 4" xfId="186" xr:uid="{00000000-0005-0000-0000-0000B9000000}"/>
    <cellStyle name="Check Cell 4 2" xfId="187" xr:uid="{00000000-0005-0000-0000-0000BA000000}"/>
    <cellStyle name="Check Cell 4_SAN2009-IIIxlsx" xfId="188" xr:uid="{00000000-0005-0000-0000-0000BB000000}"/>
    <cellStyle name="Check Cell 5" xfId="189" xr:uid="{00000000-0005-0000-0000-0000BC000000}"/>
    <cellStyle name="Check Cell 6" xfId="190" xr:uid="{00000000-0005-0000-0000-0000BD000000}"/>
    <cellStyle name="Check Cell 7" xfId="191" xr:uid="{00000000-0005-0000-0000-0000BE000000}"/>
    <cellStyle name="Comma" xfId="192" builtinId="3"/>
    <cellStyle name="Comma 10" xfId="193" xr:uid="{00000000-0005-0000-0000-0000C0000000}"/>
    <cellStyle name="Comma 11" xfId="348" xr:uid="{00000000-0005-0000-0000-0000C1000000}"/>
    <cellStyle name="Comma 2" xfId="194" xr:uid="{00000000-0005-0000-0000-0000C2000000}"/>
    <cellStyle name="Comma 2 2" xfId="195" xr:uid="{00000000-0005-0000-0000-0000C3000000}"/>
    <cellStyle name="Comma 3" xfId="196" xr:uid="{00000000-0005-0000-0000-0000C4000000}"/>
    <cellStyle name="Comma 3 2" xfId="197" xr:uid="{00000000-0005-0000-0000-0000C5000000}"/>
    <cellStyle name="Comma 4" xfId="198" xr:uid="{00000000-0005-0000-0000-0000C6000000}"/>
    <cellStyle name="Comma 5" xfId="199" xr:uid="{00000000-0005-0000-0000-0000C7000000}"/>
    <cellStyle name="Currency 2" xfId="200" xr:uid="{00000000-0005-0000-0000-0000C8000000}"/>
    <cellStyle name="Explanatory Text 2" xfId="201" xr:uid="{00000000-0005-0000-0000-0000C9000000}"/>
    <cellStyle name="Explanatory Text 3" xfId="202" xr:uid="{00000000-0005-0000-0000-0000CA000000}"/>
    <cellStyle name="Explanatory Text 4" xfId="203" xr:uid="{00000000-0005-0000-0000-0000CB000000}"/>
    <cellStyle name="Explanatory Text 4 2" xfId="204" xr:uid="{00000000-0005-0000-0000-0000CC000000}"/>
    <cellStyle name="Explanatory Text 5" xfId="205" xr:uid="{00000000-0005-0000-0000-0000CD000000}"/>
    <cellStyle name="Explanatory Text 6" xfId="206" xr:uid="{00000000-0005-0000-0000-0000CE000000}"/>
    <cellStyle name="Explanatory Text 7" xfId="207" xr:uid="{00000000-0005-0000-0000-0000CF000000}"/>
    <cellStyle name="Good 2" xfId="208" xr:uid="{00000000-0005-0000-0000-0000D0000000}"/>
    <cellStyle name="Good 3" xfId="209" xr:uid="{00000000-0005-0000-0000-0000D1000000}"/>
    <cellStyle name="Good 4" xfId="210" xr:uid="{00000000-0005-0000-0000-0000D2000000}"/>
    <cellStyle name="Good 4 2" xfId="211" xr:uid="{00000000-0005-0000-0000-0000D3000000}"/>
    <cellStyle name="Good 5" xfId="212" xr:uid="{00000000-0005-0000-0000-0000D4000000}"/>
    <cellStyle name="Good 6" xfId="213" xr:uid="{00000000-0005-0000-0000-0000D5000000}"/>
    <cellStyle name="Good 7" xfId="214" xr:uid="{00000000-0005-0000-0000-0000D6000000}"/>
    <cellStyle name="Heading 1 2" xfId="215" xr:uid="{00000000-0005-0000-0000-0000D7000000}"/>
    <cellStyle name="Heading 1 3" xfId="216" xr:uid="{00000000-0005-0000-0000-0000D8000000}"/>
    <cellStyle name="Heading 1 4" xfId="217" xr:uid="{00000000-0005-0000-0000-0000D9000000}"/>
    <cellStyle name="Heading 1 4 2" xfId="218" xr:uid="{00000000-0005-0000-0000-0000DA000000}"/>
    <cellStyle name="Heading 1 4_SAN2009-IIIxlsx" xfId="219" xr:uid="{00000000-0005-0000-0000-0000DB000000}"/>
    <cellStyle name="Heading 1 5" xfId="220" xr:uid="{00000000-0005-0000-0000-0000DC000000}"/>
    <cellStyle name="Heading 1 6" xfId="221" xr:uid="{00000000-0005-0000-0000-0000DD000000}"/>
    <cellStyle name="Heading 1 7" xfId="222" xr:uid="{00000000-0005-0000-0000-0000DE000000}"/>
    <cellStyle name="Heading 2 2" xfId="223" xr:uid="{00000000-0005-0000-0000-0000DF000000}"/>
    <cellStyle name="Heading 2 3" xfId="224" xr:uid="{00000000-0005-0000-0000-0000E0000000}"/>
    <cellStyle name="Heading 2 4" xfId="225" xr:uid="{00000000-0005-0000-0000-0000E1000000}"/>
    <cellStyle name="Heading 2 4 2" xfId="226" xr:uid="{00000000-0005-0000-0000-0000E2000000}"/>
    <cellStyle name="Heading 2 4_SAN2009-IIIxlsx" xfId="227" xr:uid="{00000000-0005-0000-0000-0000E3000000}"/>
    <cellStyle name="Heading 2 5" xfId="228" xr:uid="{00000000-0005-0000-0000-0000E4000000}"/>
    <cellStyle name="Heading 2 6" xfId="229" xr:uid="{00000000-0005-0000-0000-0000E5000000}"/>
    <cellStyle name="Heading 2 7" xfId="230" xr:uid="{00000000-0005-0000-0000-0000E6000000}"/>
    <cellStyle name="Heading 3 2" xfId="231" xr:uid="{00000000-0005-0000-0000-0000E7000000}"/>
    <cellStyle name="Heading 3 3" xfId="232" xr:uid="{00000000-0005-0000-0000-0000E8000000}"/>
    <cellStyle name="Heading 3 4" xfId="233" xr:uid="{00000000-0005-0000-0000-0000E9000000}"/>
    <cellStyle name="Heading 3 4 2" xfId="234" xr:uid="{00000000-0005-0000-0000-0000EA000000}"/>
    <cellStyle name="Heading 3 4_SAN2009-IIIxlsx" xfId="235" xr:uid="{00000000-0005-0000-0000-0000EB000000}"/>
    <cellStyle name="Heading 3 5" xfId="236" xr:uid="{00000000-0005-0000-0000-0000EC000000}"/>
    <cellStyle name="Heading 3 6" xfId="237" xr:uid="{00000000-0005-0000-0000-0000ED000000}"/>
    <cellStyle name="Heading 3 7" xfId="238" xr:uid="{00000000-0005-0000-0000-0000EE000000}"/>
    <cellStyle name="Heading 4 2" xfId="239" xr:uid="{00000000-0005-0000-0000-0000EF000000}"/>
    <cellStyle name="Heading 4 3" xfId="240" xr:uid="{00000000-0005-0000-0000-0000F0000000}"/>
    <cellStyle name="Heading 4 4" xfId="241" xr:uid="{00000000-0005-0000-0000-0000F1000000}"/>
    <cellStyle name="Heading 4 4 2" xfId="242" xr:uid="{00000000-0005-0000-0000-0000F2000000}"/>
    <cellStyle name="Heading 4 5" xfId="243" xr:uid="{00000000-0005-0000-0000-0000F3000000}"/>
    <cellStyle name="Heading 4 6" xfId="244" xr:uid="{00000000-0005-0000-0000-0000F4000000}"/>
    <cellStyle name="Heading 4 7" xfId="245" xr:uid="{00000000-0005-0000-0000-0000F5000000}"/>
    <cellStyle name="Input 2" xfId="246" xr:uid="{00000000-0005-0000-0000-0000F6000000}"/>
    <cellStyle name="Input 3" xfId="247" xr:uid="{00000000-0005-0000-0000-0000F7000000}"/>
    <cellStyle name="Input 4" xfId="248" xr:uid="{00000000-0005-0000-0000-0000F8000000}"/>
    <cellStyle name="Input 4 2" xfId="249" xr:uid="{00000000-0005-0000-0000-0000F9000000}"/>
    <cellStyle name="Input 4_SAN2009-IIIxlsx" xfId="250" xr:uid="{00000000-0005-0000-0000-0000FA000000}"/>
    <cellStyle name="Input 5" xfId="251" xr:uid="{00000000-0005-0000-0000-0000FB000000}"/>
    <cellStyle name="Input 6" xfId="252" xr:uid="{00000000-0005-0000-0000-0000FC000000}"/>
    <cellStyle name="Input 7" xfId="253" xr:uid="{00000000-0005-0000-0000-0000FD000000}"/>
    <cellStyle name="Linked Cell 2" xfId="254" xr:uid="{00000000-0005-0000-0000-0000FE000000}"/>
    <cellStyle name="Linked Cell 3" xfId="255" xr:uid="{00000000-0005-0000-0000-0000FF000000}"/>
    <cellStyle name="Linked Cell 4" xfId="256" xr:uid="{00000000-0005-0000-0000-000000010000}"/>
    <cellStyle name="Linked Cell 4 2" xfId="257" xr:uid="{00000000-0005-0000-0000-000001010000}"/>
    <cellStyle name="Linked Cell 4_SAN2009-IIIxlsx" xfId="258" xr:uid="{00000000-0005-0000-0000-000002010000}"/>
    <cellStyle name="Linked Cell 5" xfId="259" xr:uid="{00000000-0005-0000-0000-000003010000}"/>
    <cellStyle name="Linked Cell 6" xfId="260" xr:uid="{00000000-0005-0000-0000-000004010000}"/>
    <cellStyle name="Linked Cell 7" xfId="261" xr:uid="{00000000-0005-0000-0000-000005010000}"/>
    <cellStyle name="Neutral 2" xfId="262" xr:uid="{00000000-0005-0000-0000-000006010000}"/>
    <cellStyle name="Neutral 3" xfId="263" xr:uid="{00000000-0005-0000-0000-000007010000}"/>
    <cellStyle name="Neutral 4" xfId="264" xr:uid="{00000000-0005-0000-0000-000008010000}"/>
    <cellStyle name="Neutral 4 2" xfId="265" xr:uid="{00000000-0005-0000-0000-000009010000}"/>
    <cellStyle name="Neutral 5" xfId="266" xr:uid="{00000000-0005-0000-0000-00000A010000}"/>
    <cellStyle name="Neutral 6" xfId="267" xr:uid="{00000000-0005-0000-0000-00000B010000}"/>
    <cellStyle name="Neutral 7" xfId="268" xr:uid="{00000000-0005-0000-0000-00000C010000}"/>
    <cellStyle name="Normal" xfId="0" builtinId="0"/>
    <cellStyle name="Normal 10" xfId="269" xr:uid="{00000000-0005-0000-0000-00000E010000}"/>
    <cellStyle name="Normal 10 2" xfId="350" xr:uid="{00000000-0005-0000-0000-00000F010000}"/>
    <cellStyle name="Normal 11" xfId="270" xr:uid="{00000000-0005-0000-0000-000010010000}"/>
    <cellStyle name="Normal 12" xfId="271" xr:uid="{00000000-0005-0000-0000-000011010000}"/>
    <cellStyle name="Normal 13" xfId="272" xr:uid="{00000000-0005-0000-0000-000012010000}"/>
    <cellStyle name="Normal 14" xfId="273" xr:uid="{00000000-0005-0000-0000-000013010000}"/>
    <cellStyle name="Normal 2" xfId="274" xr:uid="{00000000-0005-0000-0000-000014010000}"/>
    <cellStyle name="Normal 2 10" xfId="351" xr:uid="{00000000-0005-0000-0000-000015010000}"/>
    <cellStyle name="Normal 2 2" xfId="275" xr:uid="{00000000-0005-0000-0000-000016010000}"/>
    <cellStyle name="Normal 2 2 2" xfId="276" xr:uid="{00000000-0005-0000-0000-000017010000}"/>
    <cellStyle name="Normal 2 2 3" xfId="277" xr:uid="{00000000-0005-0000-0000-000018010000}"/>
    <cellStyle name="Normal 2 2 4" xfId="278" xr:uid="{00000000-0005-0000-0000-000019010000}"/>
    <cellStyle name="Normal 2 2 5" xfId="279" xr:uid="{00000000-0005-0000-0000-00001A010000}"/>
    <cellStyle name="Normal 2 2_samsheneblo 2009-II" xfId="280" xr:uid="{00000000-0005-0000-0000-00001B010000}"/>
    <cellStyle name="Normal 2 3" xfId="281" xr:uid="{00000000-0005-0000-0000-00001C010000}"/>
    <cellStyle name="Normal 2 4" xfId="282" xr:uid="{00000000-0005-0000-0000-00001D010000}"/>
    <cellStyle name="Normal 2 5" xfId="283" xr:uid="{00000000-0005-0000-0000-00001E010000}"/>
    <cellStyle name="Normal 2 6" xfId="284" xr:uid="{00000000-0005-0000-0000-00001F010000}"/>
    <cellStyle name="Normal 2 7" xfId="285" xr:uid="{00000000-0005-0000-0000-000020010000}"/>
    <cellStyle name="Normal 2_samseneblo - 2009" xfId="286" xr:uid="{00000000-0005-0000-0000-000021010000}"/>
    <cellStyle name="Normal 24" xfId="347" xr:uid="{00000000-0005-0000-0000-000022010000}"/>
    <cellStyle name="Normal 26" xfId="287" xr:uid="{00000000-0005-0000-0000-000023010000}"/>
    <cellStyle name="Normal 27" xfId="288" xr:uid="{00000000-0005-0000-0000-000024010000}"/>
    <cellStyle name="Normal 3" xfId="289" xr:uid="{00000000-0005-0000-0000-000025010000}"/>
    <cellStyle name="Normal 3 2" xfId="290" xr:uid="{00000000-0005-0000-0000-000026010000}"/>
    <cellStyle name="Normal 3 3" xfId="291" xr:uid="{00000000-0005-0000-0000-000027010000}"/>
    <cellStyle name="Normal 31" xfId="292" xr:uid="{00000000-0005-0000-0000-000028010000}"/>
    <cellStyle name="Normal 4" xfId="293" xr:uid="{00000000-0005-0000-0000-000029010000}"/>
    <cellStyle name="Normal 4 2" xfId="294" xr:uid="{00000000-0005-0000-0000-00002A010000}"/>
    <cellStyle name="Normal 5" xfId="295" xr:uid="{00000000-0005-0000-0000-00002B010000}"/>
    <cellStyle name="Normal 6" xfId="296" xr:uid="{00000000-0005-0000-0000-00002C010000}"/>
    <cellStyle name="Normal 7" xfId="297" xr:uid="{00000000-0005-0000-0000-00002D010000}"/>
    <cellStyle name="Normal 8" xfId="298" xr:uid="{00000000-0005-0000-0000-00002E010000}"/>
    <cellStyle name="Normal 8 2" xfId="299" xr:uid="{00000000-0005-0000-0000-00002F010000}"/>
    <cellStyle name="Normal 9" xfId="300" xr:uid="{00000000-0005-0000-0000-000030010000}"/>
    <cellStyle name="Normal 9 2" xfId="301" xr:uid="{00000000-0005-0000-0000-000031010000}"/>
    <cellStyle name="Normal 9 2 2" xfId="302" xr:uid="{00000000-0005-0000-0000-000032010000}"/>
    <cellStyle name="Normal_gare wyalsadfenigagarini 2_SMSH2008-IIkv ." xfId="303" xr:uid="{00000000-0005-0000-0000-000033010000}"/>
    <cellStyle name="Note 2" xfId="304" xr:uid="{00000000-0005-0000-0000-000034010000}"/>
    <cellStyle name="Note 3" xfId="305" xr:uid="{00000000-0005-0000-0000-000035010000}"/>
    <cellStyle name="Note 4" xfId="306" xr:uid="{00000000-0005-0000-0000-000036010000}"/>
    <cellStyle name="Note 4 2" xfId="307" xr:uid="{00000000-0005-0000-0000-000037010000}"/>
    <cellStyle name="Note 4_SAN2009-IIIxlsx" xfId="308" xr:uid="{00000000-0005-0000-0000-000038010000}"/>
    <cellStyle name="Note 5" xfId="309" xr:uid="{00000000-0005-0000-0000-000039010000}"/>
    <cellStyle name="Note 6" xfId="310" xr:uid="{00000000-0005-0000-0000-00003A010000}"/>
    <cellStyle name="Note 7" xfId="311" xr:uid="{00000000-0005-0000-0000-00003B010000}"/>
    <cellStyle name="Output 2" xfId="312" xr:uid="{00000000-0005-0000-0000-00003C010000}"/>
    <cellStyle name="Output 3" xfId="313" xr:uid="{00000000-0005-0000-0000-00003D010000}"/>
    <cellStyle name="Output 4" xfId="314" xr:uid="{00000000-0005-0000-0000-00003E010000}"/>
    <cellStyle name="Output 4 2" xfId="315" xr:uid="{00000000-0005-0000-0000-00003F010000}"/>
    <cellStyle name="Output 4_SAN2009-IIIxlsx" xfId="316" xr:uid="{00000000-0005-0000-0000-000040010000}"/>
    <cellStyle name="Output 5" xfId="317" xr:uid="{00000000-0005-0000-0000-000041010000}"/>
    <cellStyle name="Output 6" xfId="318" xr:uid="{00000000-0005-0000-0000-000042010000}"/>
    <cellStyle name="Output 7" xfId="319" xr:uid="{00000000-0005-0000-0000-000043010000}"/>
    <cellStyle name="Percent 2" xfId="320" xr:uid="{00000000-0005-0000-0000-000044010000}"/>
    <cellStyle name="Percent 2 2" xfId="321" xr:uid="{00000000-0005-0000-0000-000045010000}"/>
    <cellStyle name="Percent 3" xfId="322" xr:uid="{00000000-0005-0000-0000-000046010000}"/>
    <cellStyle name="Style 1" xfId="323" xr:uid="{00000000-0005-0000-0000-000047010000}"/>
    <cellStyle name="Title 2" xfId="324" xr:uid="{00000000-0005-0000-0000-000048010000}"/>
    <cellStyle name="Title 3" xfId="325" xr:uid="{00000000-0005-0000-0000-000049010000}"/>
    <cellStyle name="Title 4" xfId="326" xr:uid="{00000000-0005-0000-0000-00004A010000}"/>
    <cellStyle name="Title 4 2" xfId="327" xr:uid="{00000000-0005-0000-0000-00004B010000}"/>
    <cellStyle name="Title 5" xfId="328" xr:uid="{00000000-0005-0000-0000-00004C010000}"/>
    <cellStyle name="Title 6" xfId="329" xr:uid="{00000000-0005-0000-0000-00004D010000}"/>
    <cellStyle name="Title 7" xfId="330" xr:uid="{00000000-0005-0000-0000-00004E010000}"/>
    <cellStyle name="Total 2" xfId="331" xr:uid="{00000000-0005-0000-0000-00004F010000}"/>
    <cellStyle name="Total 3" xfId="332" xr:uid="{00000000-0005-0000-0000-000050010000}"/>
    <cellStyle name="Total 4" xfId="333" xr:uid="{00000000-0005-0000-0000-000051010000}"/>
    <cellStyle name="Total 4 2" xfId="334" xr:uid="{00000000-0005-0000-0000-000052010000}"/>
    <cellStyle name="Total 4_SAN2009-IIIxlsx" xfId="335" xr:uid="{00000000-0005-0000-0000-000053010000}"/>
    <cellStyle name="Total 5" xfId="336" xr:uid="{00000000-0005-0000-0000-000054010000}"/>
    <cellStyle name="Total 6" xfId="337" xr:uid="{00000000-0005-0000-0000-000055010000}"/>
    <cellStyle name="Total 7" xfId="338" xr:uid="{00000000-0005-0000-0000-000056010000}"/>
    <cellStyle name="Warning Text 2" xfId="339" xr:uid="{00000000-0005-0000-0000-000057010000}"/>
    <cellStyle name="Warning Text 3" xfId="340" xr:uid="{00000000-0005-0000-0000-000058010000}"/>
    <cellStyle name="Warning Text 4" xfId="341" xr:uid="{00000000-0005-0000-0000-000059010000}"/>
    <cellStyle name="Warning Text 4 2" xfId="342" xr:uid="{00000000-0005-0000-0000-00005A010000}"/>
    <cellStyle name="Warning Text 5" xfId="343" xr:uid="{00000000-0005-0000-0000-00005B010000}"/>
    <cellStyle name="Warning Text 6" xfId="344" xr:uid="{00000000-0005-0000-0000-00005C010000}"/>
    <cellStyle name="Warning Text 7" xfId="345" xr:uid="{00000000-0005-0000-0000-00005D010000}"/>
    <cellStyle name="Обычный_Лист1" xfId="349" xr:uid="{00000000-0005-0000-0000-00005E010000}"/>
    <cellStyle name="㼿㼿㼿㼿㼿㼿" xfId="346" xr:uid="{00000000-0005-0000-0000-00005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G603"/>
  <sheetViews>
    <sheetView view="pageBreakPreview" topLeftCell="A237" zoomScaleSheetLayoutView="100" workbookViewId="0">
      <pane ySplit="570" topLeftCell="A454" activePane="bottomLeft"/>
      <selection activeCell="D1" sqref="D1"/>
      <selection pane="bottomLeft" activeCell="C466" sqref="C466"/>
    </sheetView>
  </sheetViews>
  <sheetFormatPr defaultColWidth="8.85546875" defaultRowHeight="13.5" x14ac:dyDescent="0.25"/>
  <cols>
    <col min="1" max="1" width="4.42578125" style="152" customWidth="1"/>
    <col min="2" max="2" width="9.85546875" style="34" customWidth="1"/>
    <col min="3" max="3" width="47" style="34" customWidth="1"/>
    <col min="4" max="4" width="9.140625" style="34" customWidth="1"/>
    <col min="5" max="5" width="7.140625" style="35" customWidth="1"/>
    <col min="6" max="6" width="9.42578125" style="143" customWidth="1"/>
    <col min="7" max="7" width="8" style="36" bestFit="1" customWidth="1"/>
    <col min="8" max="8" width="10.140625" style="36" customWidth="1"/>
    <col min="9" max="9" width="6" style="36" customWidth="1"/>
    <col min="10" max="10" width="9.140625" style="36" customWidth="1"/>
    <col min="11" max="11" width="6.28515625" style="36" bestFit="1" customWidth="1"/>
    <col min="12" max="12" width="7.28515625" style="36" bestFit="1" customWidth="1"/>
    <col min="13" max="13" width="9.42578125" style="36" bestFit="1" customWidth="1"/>
    <col min="14" max="14" width="5.5703125" style="4" customWidth="1"/>
    <col min="15" max="15" width="7.140625" style="4" customWidth="1"/>
    <col min="16" max="26" width="5.5703125" style="4" customWidth="1"/>
    <col min="27" max="28" width="4" style="4" bestFit="1" customWidth="1"/>
    <col min="29" max="16384" width="8.85546875" style="4"/>
  </cols>
  <sheetData>
    <row r="2" spans="1:28" ht="27" x14ac:dyDescent="0.25">
      <c r="C2" s="34" t="s">
        <v>54</v>
      </c>
      <c r="D2" s="139"/>
      <c r="E2" s="12"/>
      <c r="F2" s="144"/>
      <c r="G2" s="13"/>
      <c r="H2" s="13"/>
      <c r="I2" s="13"/>
      <c r="J2" s="13"/>
      <c r="K2" s="13"/>
      <c r="L2" s="13"/>
      <c r="M2" s="13"/>
    </row>
    <row r="3" spans="1:28" x14ac:dyDescent="0.25">
      <c r="A3" s="153"/>
      <c r="B3" s="150"/>
      <c r="C3" s="150"/>
      <c r="D3" s="140"/>
      <c r="E3" s="38"/>
      <c r="F3" s="145"/>
      <c r="G3" s="37"/>
      <c r="H3" s="37"/>
      <c r="I3" s="37"/>
      <c r="J3" s="37"/>
      <c r="K3" s="37"/>
      <c r="L3" s="37"/>
      <c r="M3" s="37"/>
    </row>
    <row r="4" spans="1:28" x14ac:dyDescent="0.25">
      <c r="A4" s="207" t="s">
        <v>19</v>
      </c>
      <c r="B4" s="210" t="s">
        <v>2</v>
      </c>
      <c r="C4" s="210" t="s">
        <v>36</v>
      </c>
      <c r="D4" s="204" t="s">
        <v>37</v>
      </c>
      <c r="E4" s="213" t="s">
        <v>38</v>
      </c>
      <c r="F4" s="214"/>
      <c r="G4" s="200" t="s">
        <v>21</v>
      </c>
      <c r="H4" s="201"/>
      <c r="I4" s="200" t="s">
        <v>20</v>
      </c>
      <c r="J4" s="201"/>
      <c r="K4" s="200" t="s">
        <v>33</v>
      </c>
      <c r="L4" s="201"/>
      <c r="M4" s="15" t="s">
        <v>22</v>
      </c>
      <c r="N4" s="16"/>
      <c r="O4" s="11"/>
      <c r="P4" s="11"/>
    </row>
    <row r="5" spans="1:28" x14ac:dyDescent="0.25">
      <c r="A5" s="208"/>
      <c r="B5" s="211"/>
      <c r="C5" s="211"/>
      <c r="D5" s="205"/>
      <c r="E5" s="215"/>
      <c r="F5" s="216"/>
      <c r="G5" s="202"/>
      <c r="H5" s="203"/>
      <c r="I5" s="202"/>
      <c r="J5" s="203"/>
      <c r="K5" s="202"/>
      <c r="L5" s="203"/>
      <c r="M5" s="17"/>
    </row>
    <row r="6" spans="1:28" ht="27" x14ac:dyDescent="0.25">
      <c r="A6" s="208"/>
      <c r="B6" s="211"/>
      <c r="C6" s="211"/>
      <c r="D6" s="205"/>
      <c r="E6" s="18" t="s">
        <v>32</v>
      </c>
      <c r="F6" s="146" t="s">
        <v>23</v>
      </c>
      <c r="G6" s="17" t="s">
        <v>3</v>
      </c>
      <c r="H6" s="15" t="s">
        <v>23</v>
      </c>
      <c r="I6" s="17" t="s">
        <v>3</v>
      </c>
      <c r="J6" s="15" t="s">
        <v>23</v>
      </c>
      <c r="K6" s="17" t="s">
        <v>3</v>
      </c>
      <c r="L6" s="15" t="s">
        <v>23</v>
      </c>
      <c r="M6" s="17"/>
    </row>
    <row r="7" spans="1:28" x14ac:dyDescent="0.25">
      <c r="A7" s="209"/>
      <c r="B7" s="212"/>
      <c r="C7" s="212"/>
      <c r="D7" s="206"/>
      <c r="E7" s="19"/>
      <c r="F7" s="147"/>
      <c r="G7" s="20" t="s">
        <v>4</v>
      </c>
      <c r="H7" s="20"/>
      <c r="I7" s="20" t="s">
        <v>4</v>
      </c>
      <c r="J7" s="20"/>
      <c r="K7" s="20" t="s">
        <v>4</v>
      </c>
      <c r="L7" s="20"/>
      <c r="M7" s="20"/>
    </row>
    <row r="8" spans="1:28" x14ac:dyDescent="0.25">
      <c r="A8" s="49">
        <v>1</v>
      </c>
      <c r="B8" s="50" t="s">
        <v>5</v>
      </c>
      <c r="C8" s="50" t="s">
        <v>6</v>
      </c>
      <c r="D8" s="141" t="s">
        <v>7</v>
      </c>
      <c r="E8" s="21" t="s">
        <v>8</v>
      </c>
      <c r="F8" s="148" t="s">
        <v>9</v>
      </c>
      <c r="G8" s="14" t="s">
        <v>10</v>
      </c>
      <c r="H8" s="22" t="s">
        <v>11</v>
      </c>
      <c r="I8" s="23" t="s">
        <v>12</v>
      </c>
      <c r="J8" s="14" t="s">
        <v>13</v>
      </c>
      <c r="K8" s="23" t="s">
        <v>14</v>
      </c>
      <c r="L8" s="22" t="s">
        <v>15</v>
      </c>
      <c r="M8" s="23" t="s">
        <v>16</v>
      </c>
      <c r="N8" s="4" t="s">
        <v>40</v>
      </c>
      <c r="O8" s="4" t="s">
        <v>40</v>
      </c>
      <c r="P8" s="4" t="s">
        <v>40</v>
      </c>
      <c r="Q8" s="4" t="s">
        <v>40</v>
      </c>
      <c r="R8" s="4" t="s">
        <v>40</v>
      </c>
      <c r="S8" s="4" t="s">
        <v>40</v>
      </c>
      <c r="T8" s="4" t="s">
        <v>40</v>
      </c>
      <c r="U8" s="4" t="s">
        <v>40</v>
      </c>
      <c r="V8" s="4" t="s">
        <v>40</v>
      </c>
      <c r="W8" s="4" t="s">
        <v>40</v>
      </c>
      <c r="X8" s="4" t="s">
        <v>40</v>
      </c>
      <c r="Y8" s="4" t="s">
        <v>40</v>
      </c>
      <c r="Z8" s="4" t="s">
        <v>40</v>
      </c>
      <c r="AA8" s="4" t="s">
        <v>40</v>
      </c>
      <c r="AB8" s="4" t="s">
        <v>40</v>
      </c>
    </row>
    <row r="9" spans="1:28" x14ac:dyDescent="0.25">
      <c r="A9" s="49" t="s">
        <v>39</v>
      </c>
      <c r="B9" s="151"/>
      <c r="C9" s="134" t="s">
        <v>201</v>
      </c>
      <c r="D9" s="142"/>
      <c r="E9" s="113"/>
      <c r="F9" s="149"/>
      <c r="G9" s="114"/>
      <c r="H9" s="115"/>
      <c r="I9" s="116"/>
      <c r="J9" s="114"/>
      <c r="K9" s="116"/>
      <c r="L9" s="115"/>
      <c r="M9" s="116"/>
      <c r="AB9" s="4" t="s">
        <v>40</v>
      </c>
    </row>
    <row r="10" spans="1:28" s="54" customFormat="1" ht="27" x14ac:dyDescent="0.25">
      <c r="A10" s="49" t="s">
        <v>39</v>
      </c>
      <c r="B10" s="48" t="s">
        <v>55</v>
      </c>
      <c r="C10" s="50" t="s">
        <v>202</v>
      </c>
      <c r="D10" s="48" t="s">
        <v>24</v>
      </c>
      <c r="E10" s="67"/>
      <c r="F10" s="67">
        <f>6.9*3.2*1.1</f>
        <v>24.288000000000004</v>
      </c>
      <c r="G10" s="51"/>
      <c r="H10" s="52"/>
      <c r="I10" s="53"/>
      <c r="J10" s="51"/>
      <c r="K10" s="53"/>
      <c r="L10" s="52"/>
      <c r="M10" s="53"/>
      <c r="AB10" s="4" t="s">
        <v>40</v>
      </c>
    </row>
    <row r="11" spans="1:28" s="65" customFormat="1" x14ac:dyDescent="0.25">
      <c r="A11" s="55"/>
      <c r="B11" s="56"/>
      <c r="C11" s="55" t="s">
        <v>30</v>
      </c>
      <c r="D11" s="77" t="s">
        <v>24</v>
      </c>
      <c r="E11" s="58">
        <v>3.89</v>
      </c>
      <c r="F11" s="59">
        <f>E11*F10</f>
        <v>94.48032000000002</v>
      </c>
      <c r="G11" s="57"/>
      <c r="H11" s="57"/>
      <c r="I11" s="57">
        <v>6</v>
      </c>
      <c r="J11" s="57">
        <f>F11*I11</f>
        <v>566.88192000000015</v>
      </c>
      <c r="K11" s="57"/>
      <c r="L11" s="57"/>
      <c r="M11" s="57">
        <f t="shared" ref="M11:M19" si="0">H11+J11+L11</f>
        <v>566.88192000000015</v>
      </c>
      <c r="N11" s="60"/>
      <c r="O11" s="61"/>
      <c r="P11" s="62"/>
      <c r="Q11" s="63"/>
      <c r="R11" s="61"/>
      <c r="S11" s="64"/>
      <c r="AB11" s="4" t="s">
        <v>40</v>
      </c>
    </row>
    <row r="12" spans="1:28" s="65" customFormat="1" x14ac:dyDescent="0.25">
      <c r="A12" s="66"/>
      <c r="B12" s="57"/>
      <c r="C12" s="57" t="s">
        <v>57</v>
      </c>
      <c r="D12" s="57" t="s">
        <v>58</v>
      </c>
      <c r="E12" s="58">
        <v>2.01E-2</v>
      </c>
      <c r="F12" s="59">
        <f>E12*F10</f>
        <v>0.48818880000000009</v>
      </c>
      <c r="G12" s="57"/>
      <c r="H12" s="57"/>
      <c r="I12" s="57"/>
      <c r="J12" s="57"/>
      <c r="K12" s="57">
        <v>14.48</v>
      </c>
      <c r="L12" s="57">
        <f>K12*F12</f>
        <v>7.0689738240000013</v>
      </c>
      <c r="M12" s="57">
        <f t="shared" si="0"/>
        <v>7.0689738240000013</v>
      </c>
      <c r="N12" s="60"/>
      <c r="O12" s="61"/>
      <c r="P12" s="62"/>
      <c r="Q12" s="63"/>
      <c r="R12" s="61"/>
      <c r="S12" s="64"/>
      <c r="AB12" s="4" t="s">
        <v>40</v>
      </c>
    </row>
    <row r="13" spans="1:28" s="65" customFormat="1" x14ac:dyDescent="0.25">
      <c r="A13" s="66"/>
      <c r="B13" s="57"/>
      <c r="C13" s="57" t="s">
        <v>59</v>
      </c>
      <c r="D13" s="57" t="s">
        <v>58</v>
      </c>
      <c r="E13" s="58">
        <v>0.52200000000000002</v>
      </c>
      <c r="F13" s="59">
        <f>E13*F10</f>
        <v>12.678336000000002</v>
      </c>
      <c r="G13" s="57"/>
      <c r="H13" s="57"/>
      <c r="I13" s="57"/>
      <c r="J13" s="57"/>
      <c r="K13" s="57">
        <v>6.57</v>
      </c>
      <c r="L13" s="57">
        <f>K13*F13</f>
        <v>83.296667520000014</v>
      </c>
      <c r="M13" s="57">
        <f t="shared" si="0"/>
        <v>83.296667520000014</v>
      </c>
      <c r="N13" s="60"/>
      <c r="O13" s="61"/>
      <c r="P13" s="62"/>
      <c r="Q13" s="63"/>
      <c r="R13" s="61"/>
      <c r="S13" s="64"/>
      <c r="AB13" s="4" t="s">
        <v>40</v>
      </c>
    </row>
    <row r="14" spans="1:28" s="65" customFormat="1" x14ac:dyDescent="0.25">
      <c r="A14" s="66"/>
      <c r="B14" s="57"/>
      <c r="C14" s="57" t="s">
        <v>60</v>
      </c>
      <c r="D14" s="57" t="s">
        <v>1</v>
      </c>
      <c r="E14" s="58">
        <v>3.2399999999999998E-2</v>
      </c>
      <c r="F14" s="59">
        <f>E14*F10</f>
        <v>0.78693120000000005</v>
      </c>
      <c r="G14" s="57"/>
      <c r="H14" s="57"/>
      <c r="I14" s="57"/>
      <c r="J14" s="57"/>
      <c r="K14" s="57">
        <v>3.2</v>
      </c>
      <c r="L14" s="57">
        <f>K14*F14</f>
        <v>2.5181798400000002</v>
      </c>
      <c r="M14" s="57">
        <f t="shared" si="0"/>
        <v>2.5181798400000002</v>
      </c>
      <c r="N14" s="60"/>
      <c r="O14" s="61"/>
      <c r="P14" s="62"/>
      <c r="Q14" s="63"/>
      <c r="R14" s="61"/>
      <c r="S14" s="64"/>
      <c r="AB14" s="4" t="s">
        <v>40</v>
      </c>
    </row>
    <row r="15" spans="1:28" s="65" customFormat="1" x14ac:dyDescent="0.25">
      <c r="A15" s="66"/>
      <c r="B15" s="57"/>
      <c r="C15" s="57" t="s">
        <v>64</v>
      </c>
      <c r="D15" s="57" t="s">
        <v>61</v>
      </c>
      <c r="E15" s="58">
        <v>1</v>
      </c>
      <c r="F15" s="59">
        <f>E15*F10</f>
        <v>24.288000000000004</v>
      </c>
      <c r="G15" s="57">
        <v>105</v>
      </c>
      <c r="H15" s="57">
        <f>G15*F15</f>
        <v>2550.2400000000002</v>
      </c>
      <c r="I15" s="57"/>
      <c r="J15" s="57"/>
      <c r="K15" s="57"/>
      <c r="L15" s="57"/>
      <c r="M15" s="57">
        <f t="shared" si="0"/>
        <v>2550.2400000000002</v>
      </c>
      <c r="N15" s="60"/>
      <c r="O15" s="61"/>
      <c r="P15" s="62"/>
      <c r="Q15" s="63"/>
      <c r="R15" s="61"/>
      <c r="S15" s="64"/>
      <c r="AB15" s="4" t="s">
        <v>40</v>
      </c>
    </row>
    <row r="16" spans="1:28" s="65" customFormat="1" x14ac:dyDescent="0.25">
      <c r="A16" s="66"/>
      <c r="B16" s="57"/>
      <c r="C16" s="57" t="s">
        <v>65</v>
      </c>
      <c r="D16" s="57" t="s">
        <v>61</v>
      </c>
      <c r="E16" s="58">
        <v>0.15</v>
      </c>
      <c r="F16" s="59">
        <f>E16*F10</f>
        <v>3.6432000000000002</v>
      </c>
      <c r="G16" s="57">
        <v>2.5</v>
      </c>
      <c r="H16" s="57">
        <f>G16*F16</f>
        <v>9.1080000000000005</v>
      </c>
      <c r="I16" s="57"/>
      <c r="J16" s="57"/>
      <c r="K16" s="57"/>
      <c r="L16" s="57"/>
      <c r="M16" s="57">
        <f t="shared" si="0"/>
        <v>9.1080000000000005</v>
      </c>
      <c r="N16" s="60"/>
      <c r="O16" s="61"/>
      <c r="P16" s="62"/>
      <c r="Q16" s="63"/>
      <c r="R16" s="61"/>
      <c r="S16" s="64"/>
      <c r="AB16" s="4" t="s">
        <v>40</v>
      </c>
    </row>
    <row r="17" spans="1:28" s="65" customFormat="1" x14ac:dyDescent="0.25">
      <c r="A17" s="66"/>
      <c r="B17" s="57"/>
      <c r="C17" s="57" t="s">
        <v>62</v>
      </c>
      <c r="D17" s="57" t="s">
        <v>24</v>
      </c>
      <c r="E17" s="58">
        <v>1</v>
      </c>
      <c r="F17" s="59">
        <f>E17*F10</f>
        <v>24.288000000000004</v>
      </c>
      <c r="G17" s="57">
        <v>18</v>
      </c>
      <c r="H17" s="57">
        <f>G17*F17</f>
        <v>437.18400000000008</v>
      </c>
      <c r="I17" s="57"/>
      <c r="J17" s="57"/>
      <c r="K17" s="57"/>
      <c r="L17" s="57"/>
      <c r="M17" s="57">
        <f t="shared" si="0"/>
        <v>437.18400000000008</v>
      </c>
      <c r="N17" s="60"/>
      <c r="O17" s="61"/>
      <c r="P17" s="62"/>
      <c r="Q17" s="63"/>
      <c r="R17" s="61"/>
      <c r="S17" s="64"/>
      <c r="AB17" s="4" t="s">
        <v>40</v>
      </c>
    </row>
    <row r="18" spans="1:28" s="65" customFormat="1" x14ac:dyDescent="0.25">
      <c r="A18" s="66"/>
      <c r="B18" s="57"/>
      <c r="C18" s="57" t="s">
        <v>63</v>
      </c>
      <c r="D18" s="57" t="s">
        <v>24</v>
      </c>
      <c r="E18" s="58">
        <v>1</v>
      </c>
      <c r="F18" s="59">
        <f>E18*F10</f>
        <v>24.288000000000004</v>
      </c>
      <c r="G18" s="57">
        <v>28</v>
      </c>
      <c r="H18" s="57">
        <f>G18*F18</f>
        <v>680.06400000000008</v>
      </c>
      <c r="I18" s="57"/>
      <c r="J18" s="57"/>
      <c r="K18" s="57"/>
      <c r="L18" s="57"/>
      <c r="M18" s="57">
        <f t="shared" si="0"/>
        <v>680.06400000000008</v>
      </c>
      <c r="N18" s="60"/>
      <c r="O18" s="61"/>
      <c r="P18" s="62"/>
      <c r="Q18" s="63"/>
      <c r="R18" s="61"/>
      <c r="S18" s="64"/>
      <c r="AB18" s="4" t="s">
        <v>40</v>
      </c>
    </row>
    <row r="19" spans="1:28" s="65" customFormat="1" x14ac:dyDescent="0.25">
      <c r="A19" s="66"/>
      <c r="B19" s="57"/>
      <c r="C19" s="57" t="s">
        <v>43</v>
      </c>
      <c r="D19" s="57" t="s">
        <v>1</v>
      </c>
      <c r="E19" s="58">
        <v>6.9000000000000006E-2</v>
      </c>
      <c r="F19" s="58">
        <f>F10*E19</f>
        <v>1.6758720000000005</v>
      </c>
      <c r="G19" s="57">
        <v>3.2</v>
      </c>
      <c r="H19" s="57">
        <f>G19*F19</f>
        <v>5.3627904000000015</v>
      </c>
      <c r="I19" s="57"/>
      <c r="J19" s="57"/>
      <c r="K19" s="57"/>
      <c r="L19" s="57"/>
      <c r="M19" s="57">
        <f t="shared" si="0"/>
        <v>5.3627904000000015</v>
      </c>
      <c r="N19" s="60"/>
      <c r="O19" s="61"/>
      <c r="P19" s="62"/>
      <c r="Q19" s="63"/>
      <c r="R19" s="61"/>
      <c r="S19" s="64"/>
      <c r="AB19" s="4" t="s">
        <v>40</v>
      </c>
    </row>
    <row r="20" spans="1:28" s="70" customFormat="1" ht="27" x14ac:dyDescent="0.25">
      <c r="A20" s="49" t="s">
        <v>39</v>
      </c>
      <c r="B20" s="68" t="s">
        <v>66</v>
      </c>
      <c r="C20" s="50" t="s">
        <v>231</v>
      </c>
      <c r="D20" s="68" t="s">
        <v>67</v>
      </c>
      <c r="E20" s="67"/>
      <c r="F20" s="48">
        <f>1*0.4*0.15*1.1</f>
        <v>6.6000000000000003E-2</v>
      </c>
      <c r="G20" s="48"/>
      <c r="H20" s="48"/>
      <c r="I20" s="48"/>
      <c r="J20" s="48"/>
      <c r="K20" s="48"/>
      <c r="L20" s="48"/>
      <c r="M20" s="48"/>
      <c r="N20" s="60"/>
      <c r="O20" s="61"/>
      <c r="P20" s="62"/>
      <c r="Q20" s="62"/>
      <c r="R20" s="61"/>
      <c r="S20" s="69"/>
      <c r="AB20" s="4" t="s">
        <v>40</v>
      </c>
    </row>
    <row r="21" spans="1:28" s="70" customFormat="1" x14ac:dyDescent="0.25">
      <c r="A21" s="55"/>
      <c r="B21" s="56"/>
      <c r="C21" s="55" t="s">
        <v>30</v>
      </c>
      <c r="D21" s="77" t="s">
        <v>67</v>
      </c>
      <c r="E21" s="59">
        <v>1</v>
      </c>
      <c r="F21" s="59">
        <f>F20*E21</f>
        <v>6.6000000000000003E-2</v>
      </c>
      <c r="G21" s="57"/>
      <c r="H21" s="57"/>
      <c r="I21" s="57">
        <v>75</v>
      </c>
      <c r="J21" s="57">
        <f>F21*I21</f>
        <v>4.95</v>
      </c>
      <c r="K21" s="57"/>
      <c r="L21" s="57"/>
      <c r="M21" s="57">
        <f t="shared" ref="M21:M28" si="1">H21+J21+L21</f>
        <v>4.95</v>
      </c>
      <c r="N21" s="60"/>
      <c r="O21" s="61"/>
      <c r="P21" s="62"/>
      <c r="Q21" s="63"/>
      <c r="R21" s="61"/>
      <c r="S21" s="71"/>
      <c r="AB21" s="4" t="s">
        <v>40</v>
      </c>
    </row>
    <row r="22" spans="1:28" s="70" customFormat="1" x14ac:dyDescent="0.25">
      <c r="A22" s="72"/>
      <c r="B22" s="73"/>
      <c r="C22" s="55" t="s">
        <v>68</v>
      </c>
      <c r="D22" s="55" t="s">
        <v>1</v>
      </c>
      <c r="E22" s="58">
        <f>112/100</f>
        <v>1.1200000000000001</v>
      </c>
      <c r="F22" s="58">
        <f>F20*E22</f>
        <v>7.3920000000000013E-2</v>
      </c>
      <c r="G22" s="57"/>
      <c r="H22" s="57"/>
      <c r="I22" s="57"/>
      <c r="J22" s="57"/>
      <c r="K22" s="57">
        <v>3.2</v>
      </c>
      <c r="L22" s="57">
        <f>F22*K22</f>
        <v>0.23654400000000006</v>
      </c>
      <c r="M22" s="57">
        <f t="shared" si="1"/>
        <v>0.23654400000000006</v>
      </c>
      <c r="N22" s="60"/>
      <c r="O22" s="61"/>
      <c r="P22" s="62"/>
      <c r="Q22" s="63"/>
      <c r="R22" s="61"/>
      <c r="S22" s="71"/>
      <c r="AB22" s="4" t="s">
        <v>40</v>
      </c>
    </row>
    <row r="23" spans="1:28" s="70" customFormat="1" x14ac:dyDescent="0.25">
      <c r="A23" s="72"/>
      <c r="B23" s="73"/>
      <c r="C23" s="55" t="s">
        <v>69</v>
      </c>
      <c r="D23" s="55" t="s">
        <v>70</v>
      </c>
      <c r="E23" s="58">
        <f>11.5/100</f>
        <v>0.115</v>
      </c>
      <c r="F23" s="58">
        <f>F20*E23</f>
        <v>7.5900000000000004E-3</v>
      </c>
      <c r="G23" s="57">
        <v>960</v>
      </c>
      <c r="H23" s="57">
        <f t="shared" ref="H23:H28" si="2">F23*G23</f>
        <v>7.2864000000000004</v>
      </c>
      <c r="I23" s="57"/>
      <c r="J23" s="57"/>
      <c r="K23" s="57"/>
      <c r="L23" s="57"/>
      <c r="M23" s="57">
        <f t="shared" si="1"/>
        <v>7.2864000000000004</v>
      </c>
      <c r="N23" s="60"/>
      <c r="O23" s="61"/>
      <c r="P23" s="62"/>
      <c r="Q23" s="63"/>
      <c r="R23" s="61"/>
      <c r="S23" s="71"/>
      <c r="AB23" s="4" t="s">
        <v>40</v>
      </c>
    </row>
    <row r="24" spans="1:28" s="70" customFormat="1" x14ac:dyDescent="0.25">
      <c r="A24" s="72"/>
      <c r="B24" s="68"/>
      <c r="C24" s="55" t="s">
        <v>71</v>
      </c>
      <c r="D24" s="55" t="s">
        <v>67</v>
      </c>
      <c r="E24" s="58">
        <f>101.5/100</f>
        <v>1.0149999999999999</v>
      </c>
      <c r="F24" s="58">
        <f>F20*E24</f>
        <v>6.6989999999999994E-2</v>
      </c>
      <c r="G24" s="57">
        <v>95</v>
      </c>
      <c r="H24" s="57">
        <f t="shared" si="2"/>
        <v>6.3640499999999998</v>
      </c>
      <c r="I24" s="57"/>
      <c r="J24" s="57"/>
      <c r="K24" s="57"/>
      <c r="L24" s="57"/>
      <c r="M24" s="57">
        <f t="shared" si="1"/>
        <v>6.3640499999999998</v>
      </c>
      <c r="N24" s="60"/>
      <c r="O24" s="61"/>
      <c r="P24" s="62"/>
      <c r="Q24" s="63"/>
      <c r="R24" s="61"/>
      <c r="S24" s="71"/>
      <c r="AB24" s="4" t="s">
        <v>40</v>
      </c>
    </row>
    <row r="25" spans="1:28" s="70" customFormat="1" x14ac:dyDescent="0.25">
      <c r="A25" s="72"/>
      <c r="B25" s="68"/>
      <c r="C25" s="55" t="s">
        <v>72</v>
      </c>
      <c r="D25" s="55" t="s">
        <v>24</v>
      </c>
      <c r="E25" s="58">
        <f>290/100</f>
        <v>2.9</v>
      </c>
      <c r="F25" s="58">
        <f>E25*F20</f>
        <v>0.19140000000000001</v>
      </c>
      <c r="G25" s="57">
        <v>16</v>
      </c>
      <c r="H25" s="57">
        <f t="shared" si="2"/>
        <v>3.0624000000000002</v>
      </c>
      <c r="I25" s="57"/>
      <c r="J25" s="57"/>
      <c r="K25" s="57"/>
      <c r="L25" s="57"/>
      <c r="M25" s="57">
        <f t="shared" si="1"/>
        <v>3.0624000000000002</v>
      </c>
      <c r="N25" s="60"/>
      <c r="O25" s="61"/>
      <c r="P25" s="62"/>
      <c r="Q25" s="63"/>
      <c r="R25" s="61"/>
      <c r="S25" s="71"/>
      <c r="AB25" s="4" t="s">
        <v>40</v>
      </c>
    </row>
    <row r="26" spans="1:28" s="70" customFormat="1" x14ac:dyDescent="0.25">
      <c r="A26" s="72"/>
      <c r="B26" s="68"/>
      <c r="C26" s="55" t="s">
        <v>75</v>
      </c>
      <c r="D26" s="55" t="s">
        <v>67</v>
      </c>
      <c r="E26" s="58">
        <f>3.78/100</f>
        <v>3.78E-2</v>
      </c>
      <c r="F26" s="58">
        <f>E26*F19</f>
        <v>6.3347961600000016E-2</v>
      </c>
      <c r="G26" s="57">
        <v>370</v>
      </c>
      <c r="H26" s="57">
        <f t="shared" si="2"/>
        <v>23.438745792000006</v>
      </c>
      <c r="I26" s="57"/>
      <c r="J26" s="57"/>
      <c r="K26" s="57"/>
      <c r="L26" s="57"/>
      <c r="M26" s="57">
        <f t="shared" si="1"/>
        <v>23.438745792000006</v>
      </c>
      <c r="N26" s="60"/>
      <c r="O26" s="61"/>
      <c r="P26" s="62"/>
      <c r="Q26" s="63"/>
      <c r="R26" s="61"/>
      <c r="S26" s="71"/>
      <c r="AB26" s="4" t="s">
        <v>40</v>
      </c>
    </row>
    <row r="27" spans="1:28" s="70" customFormat="1" x14ac:dyDescent="0.25">
      <c r="A27" s="72"/>
      <c r="B27" s="68"/>
      <c r="C27" s="55" t="s">
        <v>73</v>
      </c>
      <c r="D27" s="55" t="s">
        <v>70</v>
      </c>
      <c r="E27" s="58">
        <f>0.23/100</f>
        <v>2.3E-3</v>
      </c>
      <c r="F27" s="58">
        <f>E27*F20</f>
        <v>1.518E-4</v>
      </c>
      <c r="G27" s="57">
        <v>3.1</v>
      </c>
      <c r="H27" s="57">
        <f t="shared" si="2"/>
        <v>4.7058000000000001E-4</v>
      </c>
      <c r="I27" s="57"/>
      <c r="J27" s="57"/>
      <c r="K27" s="57"/>
      <c r="L27" s="57"/>
      <c r="M27" s="58">
        <f t="shared" si="1"/>
        <v>4.7058000000000001E-4</v>
      </c>
      <c r="N27" s="60"/>
      <c r="O27" s="61"/>
      <c r="P27" s="62"/>
      <c r="Q27" s="63"/>
      <c r="R27" s="61"/>
      <c r="S27" s="71"/>
      <c r="AB27" s="4" t="s">
        <v>40</v>
      </c>
    </row>
    <row r="28" spans="1:28" s="70" customFormat="1" x14ac:dyDescent="0.25">
      <c r="A28" s="72"/>
      <c r="B28" s="73"/>
      <c r="C28" s="55" t="s">
        <v>74</v>
      </c>
      <c r="D28" s="55" t="s">
        <v>1</v>
      </c>
      <c r="E28" s="58">
        <f>95/100</f>
        <v>0.95</v>
      </c>
      <c r="F28" s="58">
        <f>F20*E28</f>
        <v>6.2700000000000006E-2</v>
      </c>
      <c r="G28" s="57">
        <v>3.2</v>
      </c>
      <c r="H28" s="57">
        <f t="shared" si="2"/>
        <v>0.20064000000000004</v>
      </c>
      <c r="I28" s="57"/>
      <c r="J28" s="57"/>
      <c r="K28" s="57"/>
      <c r="L28" s="57"/>
      <c r="M28" s="57">
        <f t="shared" si="1"/>
        <v>0.20064000000000004</v>
      </c>
      <c r="N28" s="60"/>
      <c r="O28" s="61"/>
      <c r="P28" s="62"/>
      <c r="Q28" s="63"/>
      <c r="R28" s="61"/>
      <c r="S28" s="71"/>
      <c r="AB28" s="4" t="s">
        <v>40</v>
      </c>
    </row>
    <row r="29" spans="1:28" s="70" customFormat="1" x14ac:dyDescent="0.25">
      <c r="A29" s="49" t="s">
        <v>39</v>
      </c>
      <c r="B29" s="68" t="s">
        <v>76</v>
      </c>
      <c r="C29" s="50" t="s">
        <v>204</v>
      </c>
      <c r="D29" s="48" t="s">
        <v>67</v>
      </c>
      <c r="E29" s="67"/>
      <c r="F29" s="48">
        <f>0.9*0.4*2.2*1.1</f>
        <v>0.8712000000000002</v>
      </c>
      <c r="G29" s="48"/>
      <c r="H29" s="48"/>
      <c r="I29" s="48"/>
      <c r="J29" s="48"/>
      <c r="K29" s="57"/>
      <c r="L29" s="57"/>
      <c r="M29" s="48"/>
      <c r="N29" s="60"/>
      <c r="O29" s="61"/>
      <c r="P29" s="62"/>
      <c r="Q29" s="74"/>
      <c r="R29" s="61"/>
      <c r="S29" s="75"/>
      <c r="AB29" s="4" t="s">
        <v>40</v>
      </c>
    </row>
    <row r="30" spans="1:28" s="70" customFormat="1" x14ac:dyDescent="0.25">
      <c r="A30" s="76"/>
      <c r="B30" s="68"/>
      <c r="C30" s="131" t="s">
        <v>77</v>
      </c>
      <c r="D30" s="77" t="s">
        <v>67</v>
      </c>
      <c r="E30" s="58">
        <v>1</v>
      </c>
      <c r="F30" s="57">
        <f>F29*E30</f>
        <v>0.8712000000000002</v>
      </c>
      <c r="G30" s="57"/>
      <c r="H30" s="57"/>
      <c r="I30" s="57">
        <v>62.5</v>
      </c>
      <c r="J30" s="57">
        <f>F30*I30</f>
        <v>54.45000000000001</v>
      </c>
      <c r="K30" s="57"/>
      <c r="L30" s="57"/>
      <c r="M30" s="57">
        <f>H30+J30+L30</f>
        <v>54.45000000000001</v>
      </c>
      <c r="N30" s="60"/>
      <c r="O30" s="61"/>
      <c r="P30" s="62"/>
      <c r="Q30" s="61"/>
      <c r="R30" s="61"/>
      <c r="AB30" s="4" t="s">
        <v>40</v>
      </c>
    </row>
    <row r="31" spans="1:28" s="70" customFormat="1" x14ac:dyDescent="0.25">
      <c r="A31" s="55"/>
      <c r="B31" s="68"/>
      <c r="C31" s="55" t="s">
        <v>18</v>
      </c>
      <c r="D31" s="57" t="s">
        <v>1</v>
      </c>
      <c r="E31" s="58">
        <v>3.35</v>
      </c>
      <c r="F31" s="57">
        <f>F29*E31</f>
        <v>2.9185200000000009</v>
      </c>
      <c r="G31" s="57"/>
      <c r="H31" s="57"/>
      <c r="I31" s="57"/>
      <c r="J31" s="57"/>
      <c r="K31" s="57">
        <v>3.2</v>
      </c>
      <c r="L31" s="57">
        <f>K31*F31</f>
        <v>9.3392640000000036</v>
      </c>
      <c r="M31" s="57">
        <f>H31+J31+L31</f>
        <v>9.3392640000000036</v>
      </c>
      <c r="N31" s="60"/>
      <c r="O31" s="61"/>
      <c r="P31" s="62"/>
      <c r="Q31" s="61"/>
      <c r="R31" s="61"/>
      <c r="AB31" s="4" t="s">
        <v>40</v>
      </c>
    </row>
    <row r="32" spans="1:28" s="104" customFormat="1" ht="27" x14ac:dyDescent="0.25">
      <c r="A32" s="49" t="s">
        <v>39</v>
      </c>
      <c r="B32" s="24" t="s">
        <v>115</v>
      </c>
      <c r="C32" s="32" t="s">
        <v>121</v>
      </c>
      <c r="D32" s="83" t="s">
        <v>24</v>
      </c>
      <c r="E32" s="25"/>
      <c r="F32" s="25">
        <f>0.9*2.2*1.1</f>
        <v>2.1780000000000004</v>
      </c>
      <c r="G32" s="79"/>
      <c r="H32" s="80"/>
      <c r="I32" s="57"/>
      <c r="J32" s="57"/>
      <c r="K32" s="80"/>
      <c r="L32" s="80"/>
      <c r="M32" s="57"/>
      <c r="N32" s="60"/>
      <c r="O32" s="61"/>
      <c r="P32" s="62"/>
      <c r="Q32" s="62"/>
      <c r="R32" s="61"/>
      <c r="S32" s="70"/>
      <c r="AB32" s="4" t="s">
        <v>40</v>
      </c>
    </row>
    <row r="33" spans="1:28" s="105" customFormat="1" x14ac:dyDescent="0.25">
      <c r="A33" s="87"/>
      <c r="B33" s="55"/>
      <c r="C33" s="30" t="s">
        <v>30</v>
      </c>
      <c r="D33" s="77" t="s">
        <v>24</v>
      </c>
      <c r="E33" s="58">
        <v>1</v>
      </c>
      <c r="F33" s="58">
        <f>F32*E33</f>
        <v>2.1780000000000004</v>
      </c>
      <c r="G33" s="57"/>
      <c r="H33" s="57"/>
      <c r="I33" s="57">
        <v>15</v>
      </c>
      <c r="J33" s="57">
        <f>F33*I33</f>
        <v>32.670000000000009</v>
      </c>
      <c r="K33" s="57"/>
      <c r="L33" s="57"/>
      <c r="M33" s="57">
        <f t="shared" ref="M33:M39" si="3">H33+J33+L33</f>
        <v>32.670000000000009</v>
      </c>
      <c r="N33" s="60"/>
      <c r="O33" s="61"/>
      <c r="P33" s="62"/>
      <c r="Q33" s="61"/>
      <c r="R33" s="61"/>
      <c r="S33" s="70"/>
      <c r="AB33" s="4" t="s">
        <v>40</v>
      </c>
    </row>
    <row r="34" spans="1:28" s="105" customFormat="1" x14ac:dyDescent="0.25">
      <c r="A34" s="87"/>
      <c r="B34" s="57"/>
      <c r="C34" s="30" t="s">
        <v>18</v>
      </c>
      <c r="D34" s="77" t="s">
        <v>1</v>
      </c>
      <c r="E34" s="58">
        <v>0.13</v>
      </c>
      <c r="F34" s="58">
        <f>F32*E34</f>
        <v>0.28314000000000006</v>
      </c>
      <c r="G34" s="57"/>
      <c r="H34" s="57"/>
      <c r="I34" s="57"/>
      <c r="J34" s="57"/>
      <c r="K34" s="57">
        <v>3.2</v>
      </c>
      <c r="L34" s="57">
        <f>F34*K34</f>
        <v>0.90604800000000019</v>
      </c>
      <c r="M34" s="57">
        <f t="shared" si="3"/>
        <v>0.90604800000000019</v>
      </c>
      <c r="N34" s="60"/>
      <c r="O34" s="61"/>
      <c r="P34" s="62"/>
      <c r="Q34" s="61"/>
      <c r="R34" s="61"/>
      <c r="S34" s="70"/>
      <c r="AB34" s="4" t="s">
        <v>40</v>
      </c>
    </row>
    <row r="35" spans="1:28" s="104" customFormat="1" x14ac:dyDescent="0.25">
      <c r="A35" s="87"/>
      <c r="B35" s="57"/>
      <c r="C35" s="30" t="s">
        <v>116</v>
      </c>
      <c r="D35" s="77" t="s">
        <v>24</v>
      </c>
      <c r="E35" s="58">
        <v>1</v>
      </c>
      <c r="F35" s="58">
        <f>F32*E35</f>
        <v>2.1780000000000004</v>
      </c>
      <c r="G35" s="57">
        <v>180</v>
      </c>
      <c r="H35" s="57">
        <f>F35*G35</f>
        <v>392.04000000000008</v>
      </c>
      <c r="I35" s="57"/>
      <c r="J35" s="57"/>
      <c r="K35" s="57"/>
      <c r="L35" s="57"/>
      <c r="M35" s="57">
        <f t="shared" si="3"/>
        <v>392.04000000000008</v>
      </c>
      <c r="N35" s="60"/>
      <c r="O35" s="61"/>
      <c r="P35" s="62"/>
      <c r="Q35" s="61"/>
      <c r="R35" s="61"/>
      <c r="S35" s="70"/>
      <c r="AB35" s="4" t="s">
        <v>40</v>
      </c>
    </row>
    <row r="36" spans="1:28" s="104" customFormat="1" x14ac:dyDescent="0.25">
      <c r="A36" s="87"/>
      <c r="B36" s="57"/>
      <c r="C36" s="30" t="s">
        <v>117</v>
      </c>
      <c r="D36" s="77" t="s">
        <v>28</v>
      </c>
      <c r="E36" s="58">
        <v>5.4</v>
      </c>
      <c r="F36" s="58">
        <f>F32*E36</f>
        <v>11.761200000000002</v>
      </c>
      <c r="G36" s="57">
        <v>3.8</v>
      </c>
      <c r="H36" s="57">
        <f>F36*G36</f>
        <v>44.692560000000007</v>
      </c>
      <c r="I36" s="57"/>
      <c r="J36" s="57"/>
      <c r="K36" s="57"/>
      <c r="L36" s="57"/>
      <c r="M36" s="57">
        <f t="shared" si="3"/>
        <v>44.692560000000007</v>
      </c>
      <c r="N36" s="60"/>
      <c r="O36" s="61"/>
      <c r="P36" s="62"/>
      <c r="Q36" s="61"/>
      <c r="R36" s="61"/>
      <c r="S36" s="70"/>
      <c r="AB36" s="4" t="s">
        <v>40</v>
      </c>
    </row>
    <row r="37" spans="1:28" s="105" customFormat="1" x14ac:dyDescent="0.25">
      <c r="A37" s="87"/>
      <c r="B37" s="57"/>
      <c r="C37" s="30" t="s">
        <v>118</v>
      </c>
      <c r="D37" s="55" t="s">
        <v>67</v>
      </c>
      <c r="E37" s="58">
        <v>8.0000000000000004E-4</v>
      </c>
      <c r="F37" s="58">
        <f>F32*E37</f>
        <v>1.7424000000000003E-3</v>
      </c>
      <c r="G37" s="57">
        <v>365</v>
      </c>
      <c r="H37" s="57">
        <f>F37*G37</f>
        <v>0.6359760000000001</v>
      </c>
      <c r="I37" s="57"/>
      <c r="J37" s="57"/>
      <c r="K37" s="57"/>
      <c r="L37" s="57"/>
      <c r="M37" s="57">
        <f t="shared" si="3"/>
        <v>0.6359760000000001</v>
      </c>
      <c r="N37" s="60"/>
      <c r="O37" s="61"/>
      <c r="P37" s="62"/>
      <c r="Q37" s="61"/>
      <c r="R37" s="61"/>
      <c r="S37" s="70"/>
      <c r="AB37" s="4" t="s">
        <v>40</v>
      </c>
    </row>
    <row r="38" spans="1:28" s="105" customFormat="1" x14ac:dyDescent="0.25">
      <c r="A38" s="87"/>
      <c r="B38" s="57"/>
      <c r="C38" s="55" t="s">
        <v>119</v>
      </c>
      <c r="D38" s="77" t="s">
        <v>120</v>
      </c>
      <c r="E38" s="58">
        <v>9.9999999999999994E-12</v>
      </c>
      <c r="F38" s="58">
        <v>1</v>
      </c>
      <c r="G38" s="57">
        <v>35</v>
      </c>
      <c r="H38" s="57">
        <f>F38*G38</f>
        <v>35</v>
      </c>
      <c r="I38" s="57"/>
      <c r="J38" s="57"/>
      <c r="K38" s="57"/>
      <c r="L38" s="57"/>
      <c r="M38" s="57">
        <f t="shared" si="3"/>
        <v>35</v>
      </c>
      <c r="N38" s="60"/>
      <c r="O38" s="61"/>
      <c r="P38" s="62"/>
      <c r="Q38" s="61"/>
      <c r="R38" s="61"/>
      <c r="S38" s="70"/>
      <c r="AB38" s="4" t="s">
        <v>40</v>
      </c>
    </row>
    <row r="39" spans="1:28" s="104" customFormat="1" x14ac:dyDescent="0.25">
      <c r="A39" s="87"/>
      <c r="B39" s="57"/>
      <c r="C39" s="55" t="s">
        <v>74</v>
      </c>
      <c r="D39" s="77" t="s">
        <v>1</v>
      </c>
      <c r="E39" s="58">
        <v>2.06E-2</v>
      </c>
      <c r="F39" s="58">
        <f>F32*E39</f>
        <v>4.4866800000000005E-2</v>
      </c>
      <c r="G39" s="57">
        <v>3.2</v>
      </c>
      <c r="H39" s="57">
        <f>F39*G39</f>
        <v>0.14357376000000002</v>
      </c>
      <c r="I39" s="57"/>
      <c r="J39" s="57"/>
      <c r="K39" s="57"/>
      <c r="L39" s="57"/>
      <c r="M39" s="57">
        <f t="shared" si="3"/>
        <v>0.14357376000000002</v>
      </c>
      <c r="N39" s="60"/>
      <c r="O39" s="61"/>
      <c r="P39" s="62"/>
      <c r="Q39" s="61"/>
      <c r="R39" s="61"/>
      <c r="S39" s="70"/>
      <c r="AB39" s="4" t="s">
        <v>40</v>
      </c>
    </row>
    <row r="40" spans="1:28" s="81" customFormat="1" ht="27" x14ac:dyDescent="0.25">
      <c r="A40" s="49" t="s">
        <v>39</v>
      </c>
      <c r="B40" s="68" t="s">
        <v>78</v>
      </c>
      <c r="C40" s="68" t="s">
        <v>79</v>
      </c>
      <c r="D40" s="83" t="s">
        <v>24</v>
      </c>
      <c r="E40" s="78"/>
      <c r="F40" s="78">
        <f>(2.2+2.2+1)*0.4*2*1.1</f>
        <v>4.7520000000000007</v>
      </c>
      <c r="G40" s="79"/>
      <c r="H40" s="80"/>
      <c r="I40" s="57"/>
      <c r="J40" s="57"/>
      <c r="K40" s="80"/>
      <c r="L40" s="80"/>
      <c r="M40" s="57"/>
      <c r="N40" s="60"/>
      <c r="O40" s="61"/>
      <c r="P40" s="62"/>
      <c r="Q40" s="62"/>
      <c r="R40" s="61"/>
      <c r="S40" s="70"/>
      <c r="AB40" s="4" t="s">
        <v>40</v>
      </c>
    </row>
    <row r="41" spans="1:28" s="81" customFormat="1" x14ac:dyDescent="0.25">
      <c r="A41" s="77"/>
      <c r="B41" s="55"/>
      <c r="C41" s="55" t="s">
        <v>30</v>
      </c>
      <c r="D41" s="77" t="s">
        <v>24</v>
      </c>
      <c r="E41" s="31">
        <v>1</v>
      </c>
      <c r="F41" s="82">
        <f>E41*F40</f>
        <v>4.7520000000000007</v>
      </c>
      <c r="G41" s="80"/>
      <c r="H41" s="80"/>
      <c r="I41" s="57">
        <v>8.5</v>
      </c>
      <c r="J41" s="57">
        <f>I41*F41</f>
        <v>40.392000000000003</v>
      </c>
      <c r="K41" s="80"/>
      <c r="L41" s="80"/>
      <c r="M41" s="57">
        <f>L41+J41+H41</f>
        <v>40.392000000000003</v>
      </c>
      <c r="N41" s="60"/>
      <c r="O41" s="61"/>
      <c r="P41" s="62"/>
      <c r="Q41" s="61"/>
      <c r="R41" s="61"/>
      <c r="S41" s="70"/>
      <c r="AB41" s="4" t="s">
        <v>40</v>
      </c>
    </row>
    <row r="42" spans="1:28" s="81" customFormat="1" x14ac:dyDescent="0.25">
      <c r="A42" s="77"/>
      <c r="B42" s="55"/>
      <c r="C42" s="55" t="s">
        <v>34</v>
      </c>
      <c r="D42" s="77" t="s">
        <v>1</v>
      </c>
      <c r="E42" s="82">
        <v>7.5999999999999998E-2</v>
      </c>
      <c r="F42" s="82">
        <f>E42*F40</f>
        <v>0.36115200000000003</v>
      </c>
      <c r="G42" s="80"/>
      <c r="H42" s="80"/>
      <c r="I42" s="57"/>
      <c r="J42" s="57"/>
      <c r="K42" s="80">
        <v>3.2</v>
      </c>
      <c r="L42" s="80">
        <f>K42*F42</f>
        <v>1.1556864000000002</v>
      </c>
      <c r="M42" s="57">
        <f>L42+J42+H42</f>
        <v>1.1556864000000002</v>
      </c>
      <c r="N42" s="60"/>
      <c r="O42" s="61"/>
      <c r="P42" s="62"/>
      <c r="Q42" s="61"/>
      <c r="R42" s="61"/>
      <c r="S42" s="70"/>
      <c r="AB42" s="4" t="s">
        <v>40</v>
      </c>
    </row>
    <row r="43" spans="1:28" s="81" customFormat="1" x14ac:dyDescent="0.25">
      <c r="A43" s="77"/>
      <c r="B43" s="55"/>
      <c r="C43" s="55" t="s">
        <v>80</v>
      </c>
      <c r="D43" s="55" t="s">
        <v>67</v>
      </c>
      <c r="E43" s="82">
        <v>4.3999999999999997E-2</v>
      </c>
      <c r="F43" s="82">
        <f>E43*F40</f>
        <v>0.20908800000000002</v>
      </c>
      <c r="G43" s="80">
        <v>90</v>
      </c>
      <c r="H43" s="80">
        <f>G43*F43</f>
        <v>18.817920000000001</v>
      </c>
      <c r="I43" s="57"/>
      <c r="J43" s="57"/>
      <c r="K43" s="80"/>
      <c r="L43" s="80"/>
      <c r="M43" s="57">
        <f>L43+J43+H43</f>
        <v>18.817920000000001</v>
      </c>
      <c r="N43" s="60"/>
      <c r="O43" s="61"/>
      <c r="P43" s="62"/>
      <c r="Q43" s="61"/>
      <c r="R43" s="61"/>
      <c r="S43" s="70"/>
      <c r="AB43" s="4" t="s">
        <v>40</v>
      </c>
    </row>
    <row r="44" spans="1:28" s="84" customFormat="1" ht="27" x14ac:dyDescent="0.25">
      <c r="A44" s="49" t="s">
        <v>39</v>
      </c>
      <c r="B44" s="83" t="s">
        <v>81</v>
      </c>
      <c r="C44" s="48" t="s">
        <v>156</v>
      </c>
      <c r="D44" s="83" t="s">
        <v>24</v>
      </c>
      <c r="E44" s="78"/>
      <c r="F44" s="78">
        <f>(2.2+2.2+1)*0.4*2*1.1</f>
        <v>4.7520000000000007</v>
      </c>
      <c r="G44" s="79"/>
      <c r="H44" s="80"/>
      <c r="I44" s="79"/>
      <c r="J44" s="80"/>
      <c r="K44" s="79"/>
      <c r="L44" s="80"/>
      <c r="M44" s="80"/>
      <c r="N44" s="60"/>
      <c r="O44" s="61"/>
      <c r="P44" s="62"/>
      <c r="Q44" s="62"/>
      <c r="R44" s="61"/>
      <c r="S44" s="70"/>
      <c r="AB44" s="4" t="s">
        <v>40</v>
      </c>
    </row>
    <row r="45" spans="1:28" s="84" customFormat="1" x14ac:dyDescent="0.25">
      <c r="A45" s="77"/>
      <c r="B45" s="83"/>
      <c r="C45" s="55" t="s">
        <v>30</v>
      </c>
      <c r="D45" s="77" t="s">
        <v>24</v>
      </c>
      <c r="E45" s="82">
        <v>1</v>
      </c>
      <c r="F45" s="82">
        <f>E45*F44</f>
        <v>4.7520000000000007</v>
      </c>
      <c r="G45" s="80"/>
      <c r="H45" s="80"/>
      <c r="I45" s="80">
        <v>6.25</v>
      </c>
      <c r="J45" s="80">
        <f>I45*F45</f>
        <v>29.700000000000003</v>
      </c>
      <c r="K45" s="80"/>
      <c r="L45" s="80"/>
      <c r="M45" s="80">
        <f>L45+J45+H45</f>
        <v>29.700000000000003</v>
      </c>
      <c r="N45" s="60"/>
      <c r="O45" s="61"/>
      <c r="P45" s="62"/>
      <c r="Q45" s="61"/>
      <c r="R45" s="61"/>
      <c r="S45" s="70"/>
      <c r="AB45" s="4" t="s">
        <v>40</v>
      </c>
    </row>
    <row r="46" spans="1:28" s="84" customFormat="1" x14ac:dyDescent="0.25">
      <c r="A46" s="77"/>
      <c r="B46" s="77"/>
      <c r="C46" s="55" t="s">
        <v>18</v>
      </c>
      <c r="D46" s="77" t="s">
        <v>1</v>
      </c>
      <c r="E46" s="82">
        <v>0.01</v>
      </c>
      <c r="F46" s="82">
        <f>E46*F44</f>
        <v>4.7520000000000007E-2</v>
      </c>
      <c r="G46" s="80"/>
      <c r="H46" s="80"/>
      <c r="I46" s="80"/>
      <c r="J46" s="80"/>
      <c r="K46" s="80">
        <v>3.2</v>
      </c>
      <c r="L46" s="80">
        <f>K46*F46</f>
        <v>0.15206400000000003</v>
      </c>
      <c r="M46" s="80">
        <f>L46+J46+H46</f>
        <v>0.15206400000000003</v>
      </c>
      <c r="N46" s="60"/>
      <c r="O46" s="61"/>
      <c r="P46" s="62"/>
      <c r="Q46" s="61"/>
      <c r="R46" s="61"/>
      <c r="S46" s="70"/>
      <c r="AB46" s="4" t="s">
        <v>40</v>
      </c>
    </row>
    <row r="47" spans="1:28" s="84" customFormat="1" x14ac:dyDescent="0.25">
      <c r="A47" s="77"/>
      <c r="B47" s="77"/>
      <c r="C47" s="55" t="s">
        <v>84</v>
      </c>
      <c r="D47" s="77" t="s">
        <v>61</v>
      </c>
      <c r="E47" s="82">
        <v>0.63</v>
      </c>
      <c r="F47" s="82">
        <f>E47*F44</f>
        <v>2.9937600000000004</v>
      </c>
      <c r="G47" s="80">
        <v>5.2</v>
      </c>
      <c r="H47" s="80">
        <f>G47*F47</f>
        <v>15.567552000000003</v>
      </c>
      <c r="I47" s="80"/>
      <c r="J47" s="80"/>
      <c r="K47" s="80"/>
      <c r="L47" s="80"/>
      <c r="M47" s="80">
        <f>L47+J47+H47</f>
        <v>15.567552000000003</v>
      </c>
      <c r="N47" s="60"/>
      <c r="O47" s="61"/>
      <c r="P47" s="62"/>
      <c r="Q47" s="61"/>
      <c r="R47" s="61"/>
      <c r="S47" s="70"/>
      <c r="AB47" s="4" t="s">
        <v>40</v>
      </c>
    </row>
    <row r="48" spans="1:28" s="84" customFormat="1" x14ac:dyDescent="0.25">
      <c r="A48" s="77"/>
      <c r="B48" s="77"/>
      <c r="C48" s="55" t="s">
        <v>83</v>
      </c>
      <c r="D48" s="77" t="s">
        <v>61</v>
      </c>
      <c r="E48" s="82">
        <v>0.79</v>
      </c>
      <c r="F48" s="82">
        <f>E48*F44</f>
        <v>3.7540800000000005</v>
      </c>
      <c r="G48" s="80">
        <v>3.5</v>
      </c>
      <c r="H48" s="80">
        <f>G48*F48</f>
        <v>13.139280000000001</v>
      </c>
      <c r="I48" s="80"/>
      <c r="J48" s="80"/>
      <c r="K48" s="80"/>
      <c r="L48" s="80"/>
      <c r="M48" s="80">
        <f>L48+J48+H48</f>
        <v>13.139280000000001</v>
      </c>
      <c r="N48" s="60"/>
      <c r="O48" s="61"/>
      <c r="P48" s="62"/>
      <c r="Q48" s="61"/>
      <c r="R48" s="61"/>
      <c r="S48" s="70"/>
      <c r="AB48" s="4" t="s">
        <v>40</v>
      </c>
    </row>
    <row r="49" spans="1:28" s="84" customFormat="1" x14ac:dyDescent="0.25">
      <c r="A49" s="77"/>
      <c r="B49" s="77"/>
      <c r="C49" s="55" t="s">
        <v>43</v>
      </c>
      <c r="D49" s="77" t="s">
        <v>1</v>
      </c>
      <c r="E49" s="82">
        <v>1.6E-2</v>
      </c>
      <c r="F49" s="82">
        <f>E49*F44</f>
        <v>7.6032000000000016E-2</v>
      </c>
      <c r="G49" s="80">
        <v>3.2</v>
      </c>
      <c r="H49" s="80">
        <f>G49*F49</f>
        <v>0.24330240000000006</v>
      </c>
      <c r="I49" s="80"/>
      <c r="J49" s="80"/>
      <c r="K49" s="80"/>
      <c r="L49" s="80"/>
      <c r="M49" s="80">
        <f>L49+J49+H49</f>
        <v>0.24330240000000006</v>
      </c>
      <c r="N49" s="60"/>
      <c r="O49" s="61"/>
      <c r="P49" s="62"/>
      <c r="Q49" s="61"/>
      <c r="R49" s="61"/>
      <c r="S49" s="70"/>
      <c r="AB49" s="4" t="s">
        <v>40</v>
      </c>
    </row>
    <row r="50" spans="1:28" x14ac:dyDescent="0.25">
      <c r="A50" s="49" t="s">
        <v>39</v>
      </c>
      <c r="B50" s="151"/>
      <c r="C50" s="134" t="s">
        <v>205</v>
      </c>
      <c r="D50" s="142"/>
      <c r="E50" s="113"/>
      <c r="F50" s="149"/>
      <c r="G50" s="114"/>
      <c r="H50" s="115"/>
      <c r="I50" s="116"/>
      <c r="J50" s="114"/>
      <c r="K50" s="116"/>
      <c r="L50" s="115"/>
      <c r="M50" s="116"/>
      <c r="AB50" s="4" t="s">
        <v>40</v>
      </c>
    </row>
    <row r="51" spans="1:28" s="70" customFormat="1" ht="27" x14ac:dyDescent="0.25">
      <c r="A51" s="49" t="s">
        <v>39</v>
      </c>
      <c r="B51" s="68" t="s">
        <v>66</v>
      </c>
      <c r="C51" s="50" t="s">
        <v>203</v>
      </c>
      <c r="D51" s="68" t="s">
        <v>67</v>
      </c>
      <c r="E51" s="67"/>
      <c r="F51" s="48">
        <f>1*0.4*0.15*1.1</f>
        <v>6.6000000000000003E-2</v>
      </c>
      <c r="G51" s="48"/>
      <c r="H51" s="48"/>
      <c r="I51" s="48"/>
      <c r="J51" s="48"/>
      <c r="K51" s="48"/>
      <c r="L51" s="48"/>
      <c r="M51" s="48"/>
      <c r="N51" s="60"/>
      <c r="O51" s="61"/>
      <c r="P51" s="62"/>
      <c r="Q51" s="62"/>
      <c r="R51" s="61"/>
      <c r="S51" s="69"/>
      <c r="AB51" s="4" t="s">
        <v>40</v>
      </c>
    </row>
    <row r="52" spans="1:28" s="70" customFormat="1" x14ac:dyDescent="0.25">
      <c r="A52" s="55"/>
      <c r="B52" s="56"/>
      <c r="C52" s="55" t="s">
        <v>30</v>
      </c>
      <c r="D52" s="77" t="s">
        <v>67</v>
      </c>
      <c r="E52" s="59">
        <v>1</v>
      </c>
      <c r="F52" s="59">
        <f>F51*E52</f>
        <v>6.6000000000000003E-2</v>
      </c>
      <c r="G52" s="57"/>
      <c r="H52" s="57"/>
      <c r="I52" s="57">
        <v>75</v>
      </c>
      <c r="J52" s="57">
        <f>F52*I52</f>
        <v>4.95</v>
      </c>
      <c r="K52" s="57"/>
      <c r="L52" s="57"/>
      <c r="M52" s="57">
        <f t="shared" ref="M52:M59" si="4">H52+J52+L52</f>
        <v>4.95</v>
      </c>
      <c r="N52" s="60"/>
      <c r="O52" s="61"/>
      <c r="P52" s="62"/>
      <c r="Q52" s="63"/>
      <c r="R52" s="61"/>
      <c r="S52" s="71"/>
      <c r="AB52" s="4" t="s">
        <v>40</v>
      </c>
    </row>
    <row r="53" spans="1:28" s="70" customFormat="1" x14ac:dyDescent="0.25">
      <c r="A53" s="72"/>
      <c r="B53" s="73"/>
      <c r="C53" s="55" t="s">
        <v>68</v>
      </c>
      <c r="D53" s="55" t="s">
        <v>1</v>
      </c>
      <c r="E53" s="58">
        <f>112/100</f>
        <v>1.1200000000000001</v>
      </c>
      <c r="F53" s="58">
        <f>F51*E53</f>
        <v>7.3920000000000013E-2</v>
      </c>
      <c r="G53" s="57"/>
      <c r="H53" s="57"/>
      <c r="I53" s="57"/>
      <c r="J53" s="57"/>
      <c r="K53" s="57">
        <v>3.2</v>
      </c>
      <c r="L53" s="57">
        <f>F53*K53</f>
        <v>0.23654400000000006</v>
      </c>
      <c r="M53" s="57">
        <f t="shared" si="4"/>
        <v>0.23654400000000006</v>
      </c>
      <c r="N53" s="60"/>
      <c r="O53" s="61"/>
      <c r="P53" s="62"/>
      <c r="Q53" s="63"/>
      <c r="R53" s="61"/>
      <c r="S53" s="71"/>
      <c r="AB53" s="4" t="s">
        <v>40</v>
      </c>
    </row>
    <row r="54" spans="1:28" s="70" customFormat="1" x14ac:dyDescent="0.25">
      <c r="A54" s="72"/>
      <c r="B54" s="73"/>
      <c r="C54" s="55" t="s">
        <v>69</v>
      </c>
      <c r="D54" s="55" t="s">
        <v>70</v>
      </c>
      <c r="E54" s="58">
        <f>11.5/100</f>
        <v>0.115</v>
      </c>
      <c r="F54" s="58">
        <f>F51*E54</f>
        <v>7.5900000000000004E-3</v>
      </c>
      <c r="G54" s="57">
        <v>1150</v>
      </c>
      <c r="H54" s="57">
        <f t="shared" ref="H54:H59" si="5">F54*G54</f>
        <v>8.7285000000000004</v>
      </c>
      <c r="I54" s="57"/>
      <c r="J54" s="57"/>
      <c r="K54" s="57"/>
      <c r="L54" s="57"/>
      <c r="M54" s="57">
        <f t="shared" si="4"/>
        <v>8.7285000000000004</v>
      </c>
      <c r="N54" s="60"/>
      <c r="O54" s="61"/>
      <c r="P54" s="62"/>
      <c r="Q54" s="63"/>
      <c r="R54" s="61"/>
      <c r="S54" s="71"/>
      <c r="AB54" s="4" t="s">
        <v>40</v>
      </c>
    </row>
    <row r="55" spans="1:28" s="70" customFormat="1" x14ac:dyDescent="0.25">
      <c r="A55" s="72"/>
      <c r="B55" s="68"/>
      <c r="C55" s="55" t="s">
        <v>71</v>
      </c>
      <c r="D55" s="55" t="s">
        <v>67</v>
      </c>
      <c r="E55" s="58">
        <f>101.5/100</f>
        <v>1.0149999999999999</v>
      </c>
      <c r="F55" s="58">
        <f>F51*E55</f>
        <v>6.6989999999999994E-2</v>
      </c>
      <c r="G55" s="57">
        <v>95</v>
      </c>
      <c r="H55" s="57">
        <f t="shared" si="5"/>
        <v>6.3640499999999998</v>
      </c>
      <c r="I55" s="57"/>
      <c r="J55" s="57"/>
      <c r="K55" s="57"/>
      <c r="L55" s="57"/>
      <c r="M55" s="57">
        <f t="shared" si="4"/>
        <v>6.3640499999999998</v>
      </c>
      <c r="N55" s="60"/>
      <c r="O55" s="61"/>
      <c r="P55" s="62"/>
      <c r="Q55" s="63"/>
      <c r="R55" s="61"/>
      <c r="S55" s="71"/>
      <c r="AB55" s="4" t="s">
        <v>40</v>
      </c>
    </row>
    <row r="56" spans="1:28" s="70" customFormat="1" x14ac:dyDescent="0.25">
      <c r="A56" s="72"/>
      <c r="B56" s="68"/>
      <c r="C56" s="55" t="s">
        <v>72</v>
      </c>
      <c r="D56" s="55" t="s">
        <v>24</v>
      </c>
      <c r="E56" s="58">
        <f>290/100</f>
        <v>2.9</v>
      </c>
      <c r="F56" s="58">
        <f>E56*F51</f>
        <v>0.19140000000000001</v>
      </c>
      <c r="G56" s="57">
        <v>16</v>
      </c>
      <c r="H56" s="57">
        <f t="shared" si="5"/>
        <v>3.0624000000000002</v>
      </c>
      <c r="I56" s="57"/>
      <c r="J56" s="57"/>
      <c r="K56" s="57"/>
      <c r="L56" s="57"/>
      <c r="M56" s="57">
        <f t="shared" si="4"/>
        <v>3.0624000000000002</v>
      </c>
      <c r="N56" s="60"/>
      <c r="O56" s="61"/>
      <c r="P56" s="62"/>
      <c r="Q56" s="63"/>
      <c r="R56" s="61"/>
      <c r="S56" s="71"/>
      <c r="AB56" s="4" t="s">
        <v>40</v>
      </c>
    </row>
    <row r="57" spans="1:28" s="70" customFormat="1" x14ac:dyDescent="0.25">
      <c r="A57" s="72"/>
      <c r="B57" s="68"/>
      <c r="C57" s="55" t="s">
        <v>75</v>
      </c>
      <c r="D57" s="55" t="s">
        <v>67</v>
      </c>
      <c r="E57" s="58">
        <f>3.78/100</f>
        <v>3.78E-2</v>
      </c>
      <c r="F57" s="58">
        <f>E57*F49</f>
        <v>2.8740096000000005E-3</v>
      </c>
      <c r="G57" s="57">
        <v>370</v>
      </c>
      <c r="H57" s="57">
        <f t="shared" si="5"/>
        <v>1.0633835520000001</v>
      </c>
      <c r="I57" s="57"/>
      <c r="J57" s="57"/>
      <c r="K57" s="57"/>
      <c r="L57" s="57"/>
      <c r="M57" s="57">
        <f t="shared" si="4"/>
        <v>1.0633835520000001</v>
      </c>
      <c r="N57" s="60"/>
      <c r="O57" s="61"/>
      <c r="P57" s="62"/>
      <c r="Q57" s="63"/>
      <c r="R57" s="61"/>
      <c r="S57" s="71"/>
      <c r="AB57" s="4" t="s">
        <v>40</v>
      </c>
    </row>
    <row r="58" spans="1:28" s="70" customFormat="1" x14ac:dyDescent="0.25">
      <c r="A58" s="72"/>
      <c r="B58" s="68"/>
      <c r="C58" s="55" t="s">
        <v>73</v>
      </c>
      <c r="D58" s="55" t="s">
        <v>70</v>
      </c>
      <c r="E58" s="58">
        <f>0.23/100</f>
        <v>2.3E-3</v>
      </c>
      <c r="F58" s="58">
        <f>E58*F51</f>
        <v>1.518E-4</v>
      </c>
      <c r="G58" s="57">
        <v>3.1</v>
      </c>
      <c r="H58" s="57">
        <f t="shared" si="5"/>
        <v>4.7058000000000001E-4</v>
      </c>
      <c r="I58" s="57"/>
      <c r="J58" s="57"/>
      <c r="K58" s="57"/>
      <c r="L58" s="57"/>
      <c r="M58" s="58">
        <f t="shared" si="4"/>
        <v>4.7058000000000001E-4</v>
      </c>
      <c r="N58" s="60"/>
      <c r="O58" s="61"/>
      <c r="P58" s="62"/>
      <c r="Q58" s="63"/>
      <c r="R58" s="61"/>
      <c r="S58" s="71"/>
      <c r="AB58" s="4" t="s">
        <v>40</v>
      </c>
    </row>
    <row r="59" spans="1:28" s="70" customFormat="1" x14ac:dyDescent="0.25">
      <c r="A59" s="72"/>
      <c r="B59" s="73"/>
      <c r="C59" s="55" t="s">
        <v>74</v>
      </c>
      <c r="D59" s="55" t="s">
        <v>1</v>
      </c>
      <c r="E59" s="58">
        <f>95/100</f>
        <v>0.95</v>
      </c>
      <c r="F59" s="58">
        <f>F51*E59</f>
        <v>6.2700000000000006E-2</v>
      </c>
      <c r="G59" s="57">
        <v>3.2</v>
      </c>
      <c r="H59" s="57">
        <f t="shared" si="5"/>
        <v>0.20064000000000004</v>
      </c>
      <c r="I59" s="57"/>
      <c r="J59" s="57"/>
      <c r="K59" s="57"/>
      <c r="L59" s="57"/>
      <c r="M59" s="57">
        <f t="shared" si="4"/>
        <v>0.20064000000000004</v>
      </c>
      <c r="N59" s="60"/>
      <c r="O59" s="61"/>
      <c r="P59" s="62"/>
      <c r="Q59" s="63"/>
      <c r="R59" s="61"/>
      <c r="S59" s="71"/>
      <c r="AB59" s="4" t="s">
        <v>40</v>
      </c>
    </row>
    <row r="60" spans="1:28" s="70" customFormat="1" x14ac:dyDescent="0.25">
      <c r="A60" s="49" t="s">
        <v>39</v>
      </c>
      <c r="B60" s="68" t="s">
        <v>76</v>
      </c>
      <c r="C60" s="50" t="s">
        <v>204</v>
      </c>
      <c r="D60" s="48" t="s">
        <v>67</v>
      </c>
      <c r="E60" s="67"/>
      <c r="F60" s="48">
        <f>0.9*0.4*2.2*1.1</f>
        <v>0.8712000000000002</v>
      </c>
      <c r="G60" s="48"/>
      <c r="H60" s="48"/>
      <c r="I60" s="48"/>
      <c r="J60" s="48"/>
      <c r="K60" s="57"/>
      <c r="L60" s="57"/>
      <c r="M60" s="48"/>
      <c r="N60" s="60"/>
      <c r="O60" s="61"/>
      <c r="P60" s="62"/>
      <c r="Q60" s="74"/>
      <c r="R60" s="61"/>
      <c r="S60" s="75"/>
      <c r="AB60" s="4" t="s">
        <v>40</v>
      </c>
    </row>
    <row r="61" spans="1:28" s="70" customFormat="1" x14ac:dyDescent="0.25">
      <c r="A61" s="76"/>
      <c r="B61" s="68"/>
      <c r="C61" s="131" t="s">
        <v>77</v>
      </c>
      <c r="D61" s="77" t="s">
        <v>67</v>
      </c>
      <c r="E61" s="58">
        <v>1</v>
      </c>
      <c r="F61" s="57">
        <f>F60*E61</f>
        <v>0.8712000000000002</v>
      </c>
      <c r="G61" s="57"/>
      <c r="H61" s="57"/>
      <c r="I61" s="57">
        <v>62.5</v>
      </c>
      <c r="J61" s="57">
        <f>F61*I61</f>
        <v>54.45000000000001</v>
      </c>
      <c r="K61" s="57"/>
      <c r="L61" s="57"/>
      <c r="M61" s="57">
        <f>H61+J61+L61</f>
        <v>54.45000000000001</v>
      </c>
      <c r="N61" s="60"/>
      <c r="O61" s="61"/>
      <c r="P61" s="62"/>
      <c r="Q61" s="61"/>
      <c r="R61" s="61"/>
      <c r="AB61" s="4" t="s">
        <v>40</v>
      </c>
    </row>
    <row r="62" spans="1:28" s="70" customFormat="1" x14ac:dyDescent="0.25">
      <c r="A62" s="55"/>
      <c r="B62" s="68"/>
      <c r="C62" s="55" t="s">
        <v>18</v>
      </c>
      <c r="D62" s="57" t="s">
        <v>1</v>
      </c>
      <c r="E62" s="58">
        <v>3.35</v>
      </c>
      <c r="F62" s="57">
        <f>F60*E62</f>
        <v>2.9185200000000009</v>
      </c>
      <c r="G62" s="57"/>
      <c r="H62" s="57"/>
      <c r="I62" s="57"/>
      <c r="J62" s="57"/>
      <c r="K62" s="57">
        <v>3.2</v>
      </c>
      <c r="L62" s="57">
        <f>K62*F62</f>
        <v>9.3392640000000036</v>
      </c>
      <c r="M62" s="57">
        <f>H62+J62+L62</f>
        <v>9.3392640000000036</v>
      </c>
      <c r="N62" s="60"/>
      <c r="O62" s="61"/>
      <c r="P62" s="62"/>
      <c r="Q62" s="61"/>
      <c r="R62" s="61"/>
      <c r="AB62" s="4" t="s">
        <v>40</v>
      </c>
    </row>
    <row r="63" spans="1:28" s="70" customFormat="1" ht="27" x14ac:dyDescent="0.25">
      <c r="A63" s="49" t="s">
        <v>39</v>
      </c>
      <c r="B63" s="123" t="s">
        <v>186</v>
      </c>
      <c r="C63" s="124" t="s">
        <v>187</v>
      </c>
      <c r="D63" s="124" t="s">
        <v>25</v>
      </c>
      <c r="E63" s="133"/>
      <c r="F63" s="125">
        <v>2</v>
      </c>
      <c r="G63" s="125"/>
      <c r="H63" s="80"/>
      <c r="I63" s="125"/>
      <c r="J63" s="80"/>
      <c r="K63" s="57"/>
      <c r="L63" s="80"/>
      <c r="M63" s="125"/>
      <c r="N63" s="60"/>
      <c r="O63" s="61"/>
      <c r="P63" s="62"/>
      <c r="Q63" s="111"/>
      <c r="R63" s="61"/>
      <c r="S63" s="128"/>
      <c r="AB63" s="4" t="s">
        <v>40</v>
      </c>
    </row>
    <row r="64" spans="1:28" s="70" customFormat="1" x14ac:dyDescent="0.25">
      <c r="A64" s="76"/>
      <c r="B64" s="123"/>
      <c r="C64" s="76" t="s">
        <v>86</v>
      </c>
      <c r="D64" s="77" t="s">
        <v>25</v>
      </c>
      <c r="E64" s="126">
        <v>1</v>
      </c>
      <c r="F64" s="127">
        <f>E64*F63</f>
        <v>2</v>
      </c>
      <c r="G64" s="127"/>
      <c r="H64" s="80"/>
      <c r="I64" s="57">
        <v>2.5</v>
      </c>
      <c r="J64" s="57">
        <f t="shared" ref="J64" si="6">I64*F64</f>
        <v>5</v>
      </c>
      <c r="K64" s="57"/>
      <c r="L64" s="80"/>
      <c r="M64" s="127">
        <f>H64+J64+L64</f>
        <v>5</v>
      </c>
      <c r="N64" s="60"/>
      <c r="O64" s="61"/>
      <c r="P64" s="62"/>
      <c r="Q64" s="111"/>
      <c r="R64" s="61"/>
      <c r="S64" s="128"/>
      <c r="AB64" s="4" t="s">
        <v>40</v>
      </c>
    </row>
    <row r="65" spans="1:28" s="70" customFormat="1" x14ac:dyDescent="0.25">
      <c r="A65" s="76"/>
      <c r="B65" s="124"/>
      <c r="C65" s="76" t="s">
        <v>34</v>
      </c>
      <c r="D65" s="129" t="s">
        <v>1</v>
      </c>
      <c r="E65" s="126">
        <f>1.9/100</f>
        <v>1.9E-2</v>
      </c>
      <c r="F65" s="127">
        <f>E65*F63</f>
        <v>3.7999999999999999E-2</v>
      </c>
      <c r="G65" s="127"/>
      <c r="H65" s="80"/>
      <c r="I65" s="127"/>
      <c r="J65" s="80"/>
      <c r="K65" s="57">
        <v>3.2</v>
      </c>
      <c r="L65" s="80">
        <f t="shared" ref="L65" si="7">K65*F65</f>
        <v>0.1216</v>
      </c>
      <c r="M65" s="127">
        <f>L65+J65+H65</f>
        <v>0.1216</v>
      </c>
      <c r="N65" s="60"/>
      <c r="O65" s="61"/>
      <c r="P65" s="62"/>
      <c r="Q65" s="111"/>
      <c r="R65" s="61"/>
      <c r="S65" s="128"/>
      <c r="AB65" s="4" t="s">
        <v>40</v>
      </c>
    </row>
    <row r="66" spans="1:28" s="128" customFormat="1" ht="40.5" x14ac:dyDescent="0.25">
      <c r="A66" s="49" t="s">
        <v>39</v>
      </c>
      <c r="B66" s="48" t="s">
        <v>188</v>
      </c>
      <c r="C66" s="48" t="s">
        <v>191</v>
      </c>
      <c r="D66" s="83" t="s">
        <v>28</v>
      </c>
      <c r="E66" s="67"/>
      <c r="F66" s="67">
        <v>8</v>
      </c>
      <c r="G66" s="79"/>
      <c r="H66" s="80"/>
      <c r="I66" s="57"/>
      <c r="J66" s="80"/>
      <c r="K66" s="80"/>
      <c r="L66" s="80"/>
      <c r="M66" s="57"/>
      <c r="N66" s="60"/>
      <c r="O66" s="61"/>
      <c r="P66" s="62"/>
      <c r="Q66" s="62"/>
      <c r="R66" s="61"/>
      <c r="S66" s="70"/>
      <c r="AB66" s="4" t="s">
        <v>40</v>
      </c>
    </row>
    <row r="67" spans="1:28" s="128" customFormat="1" x14ac:dyDescent="0.25">
      <c r="A67" s="87"/>
      <c r="B67" s="57"/>
      <c r="C67" s="57" t="s">
        <v>30</v>
      </c>
      <c r="D67" s="77" t="s">
        <v>28</v>
      </c>
      <c r="E67" s="58">
        <v>1</v>
      </c>
      <c r="F67" s="58">
        <f>F66*E67</f>
        <v>8</v>
      </c>
      <c r="G67" s="57"/>
      <c r="H67" s="80"/>
      <c r="I67" s="57">
        <v>3.5</v>
      </c>
      <c r="J67" s="57">
        <f t="shared" ref="J67" si="8">I67*F67</f>
        <v>28</v>
      </c>
      <c r="K67" s="57"/>
      <c r="L67" s="80"/>
      <c r="M67" s="57">
        <f>H67+J67+L67</f>
        <v>28</v>
      </c>
      <c r="N67" s="60"/>
      <c r="O67" s="61"/>
      <c r="P67" s="62"/>
      <c r="Q67" s="61"/>
      <c r="R67" s="61"/>
      <c r="S67" s="70"/>
      <c r="AB67" s="4" t="s">
        <v>40</v>
      </c>
    </row>
    <row r="68" spans="1:28" s="128" customFormat="1" x14ac:dyDescent="0.25">
      <c r="A68" s="87"/>
      <c r="B68" s="57"/>
      <c r="C68" s="57" t="s">
        <v>189</v>
      </c>
      <c r="D68" s="77" t="s">
        <v>1</v>
      </c>
      <c r="E68" s="58">
        <v>2.5700000000000001E-2</v>
      </c>
      <c r="F68" s="58">
        <f>F66*E68</f>
        <v>0.2056</v>
      </c>
      <c r="G68" s="57"/>
      <c r="H68" s="80"/>
      <c r="I68" s="57"/>
      <c r="J68" s="80"/>
      <c r="K68" s="57">
        <v>3.2</v>
      </c>
      <c r="L68" s="80">
        <f t="shared" ref="L68" si="9">K68*F68</f>
        <v>0.65792000000000006</v>
      </c>
      <c r="M68" s="57">
        <f>H68+J68+L68</f>
        <v>0.65792000000000006</v>
      </c>
      <c r="N68" s="60"/>
      <c r="O68" s="61"/>
      <c r="P68" s="62"/>
      <c r="Q68" s="61"/>
      <c r="R68" s="61"/>
      <c r="S68" s="70"/>
      <c r="AB68" s="4" t="s">
        <v>40</v>
      </c>
    </row>
    <row r="69" spans="1:28" s="128" customFormat="1" x14ac:dyDescent="0.25">
      <c r="A69" s="87"/>
      <c r="B69" s="57"/>
      <c r="C69" s="57" t="s">
        <v>190</v>
      </c>
      <c r="D69" s="77" t="s">
        <v>28</v>
      </c>
      <c r="E69" s="58">
        <v>0.92900000000000005</v>
      </c>
      <c r="F69" s="58">
        <f>F66*E69</f>
        <v>7.4320000000000004</v>
      </c>
      <c r="G69" s="57">
        <v>0.8</v>
      </c>
      <c r="H69" s="80">
        <f t="shared" ref="H69:H70" si="10">G69*F69</f>
        <v>5.9456000000000007</v>
      </c>
      <c r="I69" s="57"/>
      <c r="J69" s="80"/>
      <c r="K69" s="57"/>
      <c r="L69" s="80"/>
      <c r="M69" s="57">
        <f>H69+J69+L69</f>
        <v>5.9456000000000007</v>
      </c>
      <c r="N69" s="60"/>
      <c r="O69" s="61"/>
      <c r="P69" s="62"/>
      <c r="Q69" s="61"/>
      <c r="R69" s="61"/>
      <c r="S69" s="70"/>
      <c r="AB69" s="4" t="s">
        <v>40</v>
      </c>
    </row>
    <row r="70" spans="1:28" s="128" customFormat="1" x14ac:dyDescent="0.25">
      <c r="A70" s="87"/>
      <c r="B70" s="57"/>
      <c r="C70" s="57" t="s">
        <v>74</v>
      </c>
      <c r="D70" s="77" t="s">
        <v>1</v>
      </c>
      <c r="E70" s="58">
        <v>4.5699999999999998E-2</v>
      </c>
      <c r="F70" s="58">
        <f>F66*E70</f>
        <v>0.36559999999999998</v>
      </c>
      <c r="G70" s="57">
        <v>3.2</v>
      </c>
      <c r="H70" s="80">
        <f t="shared" si="10"/>
        <v>1.1699200000000001</v>
      </c>
      <c r="I70" s="57"/>
      <c r="J70" s="80"/>
      <c r="K70" s="57"/>
      <c r="L70" s="80"/>
      <c r="M70" s="57">
        <f>H70+J70+L70</f>
        <v>1.1699200000000001</v>
      </c>
      <c r="N70" s="60"/>
      <c r="O70" s="61"/>
      <c r="P70" s="62"/>
      <c r="Q70" s="61"/>
      <c r="R70" s="61"/>
      <c r="S70" s="70"/>
      <c r="AB70" s="4" t="s">
        <v>40</v>
      </c>
    </row>
    <row r="71" spans="1:28" s="104" customFormat="1" ht="27" x14ac:dyDescent="0.25">
      <c r="A71" s="49" t="s">
        <v>39</v>
      </c>
      <c r="B71" s="73" t="s">
        <v>41</v>
      </c>
      <c r="C71" s="24" t="s">
        <v>193</v>
      </c>
      <c r="D71" s="83" t="s">
        <v>25</v>
      </c>
      <c r="E71" s="25"/>
      <c r="F71" s="25">
        <v>1</v>
      </c>
      <c r="G71" s="79"/>
      <c r="H71" s="80"/>
      <c r="I71" s="57"/>
      <c r="J71" s="80"/>
      <c r="K71" s="80"/>
      <c r="L71" s="80"/>
      <c r="M71" s="57"/>
      <c r="N71" s="60"/>
      <c r="O71" s="61"/>
      <c r="P71" s="62"/>
      <c r="Q71" s="61"/>
      <c r="R71" s="94"/>
      <c r="S71" s="70"/>
      <c r="AB71" s="4" t="s">
        <v>40</v>
      </c>
    </row>
    <row r="72" spans="1:28" s="104" customFormat="1" x14ac:dyDescent="0.25">
      <c r="A72" s="109"/>
      <c r="B72" s="55"/>
      <c r="C72" s="26" t="s">
        <v>17</v>
      </c>
      <c r="D72" s="77" t="s">
        <v>25</v>
      </c>
      <c r="E72" s="110">
        <v>1</v>
      </c>
      <c r="F72" s="110">
        <f>F71*E72</f>
        <v>1</v>
      </c>
      <c r="G72" s="26"/>
      <c r="H72" s="80"/>
      <c r="I72" s="26">
        <v>31.25</v>
      </c>
      <c r="J72" s="57">
        <f t="shared" ref="J72" si="11">I72*F72</f>
        <v>31.25</v>
      </c>
      <c r="K72" s="26"/>
      <c r="L72" s="80"/>
      <c r="M72" s="26">
        <f>H72+J72+L72</f>
        <v>31.25</v>
      </c>
      <c r="N72" s="60"/>
      <c r="O72" s="61"/>
      <c r="P72" s="62"/>
      <c r="Q72" s="61"/>
      <c r="R72" s="94"/>
      <c r="S72" s="70"/>
      <c r="AB72" s="4" t="s">
        <v>40</v>
      </c>
    </row>
    <row r="73" spans="1:28" s="104" customFormat="1" x14ac:dyDescent="0.25">
      <c r="A73" s="109"/>
      <c r="B73" s="26"/>
      <c r="C73" s="26" t="s">
        <v>192</v>
      </c>
      <c r="D73" s="77" t="s">
        <v>1</v>
      </c>
      <c r="E73" s="110">
        <v>1</v>
      </c>
      <c r="F73" s="110">
        <f>F71*E73</f>
        <v>1</v>
      </c>
      <c r="G73" s="26">
        <v>125</v>
      </c>
      <c r="H73" s="80">
        <f t="shared" ref="H73" si="12">G73*F73</f>
        <v>125</v>
      </c>
      <c r="I73" s="26"/>
      <c r="J73" s="80"/>
      <c r="K73" s="26">
        <v>3.2</v>
      </c>
      <c r="L73" s="80">
        <f t="shared" ref="L73" si="13">K73*F73</f>
        <v>3.2</v>
      </c>
      <c r="M73" s="26">
        <f>H73+J73+L73</f>
        <v>128.19999999999999</v>
      </c>
      <c r="N73" s="60"/>
      <c r="O73" s="61"/>
      <c r="P73" s="62"/>
      <c r="Q73" s="61"/>
      <c r="R73" s="94"/>
      <c r="S73" s="70"/>
      <c r="AB73" s="4" t="s">
        <v>40</v>
      </c>
    </row>
    <row r="74" spans="1:28" s="70" customFormat="1" ht="27" x14ac:dyDescent="0.25">
      <c r="A74" s="49" t="s">
        <v>39</v>
      </c>
      <c r="B74" s="24" t="s">
        <v>194</v>
      </c>
      <c r="C74" s="24" t="s">
        <v>195</v>
      </c>
      <c r="D74" s="68" t="s">
        <v>67</v>
      </c>
      <c r="E74" s="25"/>
      <c r="F74" s="25">
        <f>0.05*0.02*3.14*8</f>
        <v>2.512E-2</v>
      </c>
      <c r="G74" s="24"/>
      <c r="H74" s="80"/>
      <c r="I74" s="24"/>
      <c r="J74" s="80"/>
      <c r="K74" s="24"/>
      <c r="L74" s="80"/>
      <c r="M74" s="24"/>
      <c r="N74" s="60"/>
      <c r="O74" s="61"/>
      <c r="P74" s="62"/>
      <c r="Q74" s="62"/>
      <c r="R74" s="61"/>
      <c r="AB74" s="4" t="s">
        <v>40</v>
      </c>
    </row>
    <row r="75" spans="1:28" s="70" customFormat="1" x14ac:dyDescent="0.25">
      <c r="A75" s="109"/>
      <c r="B75" s="26"/>
      <c r="C75" s="26" t="s">
        <v>196</v>
      </c>
      <c r="D75" s="77" t="s">
        <v>67</v>
      </c>
      <c r="E75" s="110">
        <v>1</v>
      </c>
      <c r="F75" s="110">
        <f>F74*E75</f>
        <v>2.512E-2</v>
      </c>
      <c r="G75" s="26"/>
      <c r="H75" s="80"/>
      <c r="I75" s="26">
        <v>50</v>
      </c>
      <c r="J75" s="57">
        <f t="shared" ref="J75" si="14">I75*F75</f>
        <v>1.256</v>
      </c>
      <c r="K75" s="26"/>
      <c r="L75" s="80"/>
      <c r="M75" s="26">
        <f t="shared" ref="M75:M80" si="15">H75+J75+L75</f>
        <v>1.256</v>
      </c>
      <c r="N75" s="60"/>
      <c r="O75" s="61"/>
      <c r="P75" s="62"/>
      <c r="Q75" s="61"/>
      <c r="R75" s="61"/>
      <c r="AB75" s="4" t="s">
        <v>40</v>
      </c>
    </row>
    <row r="76" spans="1:28" s="70" customFormat="1" x14ac:dyDescent="0.25">
      <c r="A76" s="109"/>
      <c r="B76" s="26"/>
      <c r="C76" s="26" t="s">
        <v>189</v>
      </c>
      <c r="D76" s="77" t="s">
        <v>1</v>
      </c>
      <c r="E76" s="110">
        <v>0.17</v>
      </c>
      <c r="F76" s="110">
        <f>F74*E76</f>
        <v>4.2704000000000006E-3</v>
      </c>
      <c r="G76" s="26"/>
      <c r="H76" s="80"/>
      <c r="I76" s="26"/>
      <c r="J76" s="80"/>
      <c r="K76" s="26">
        <v>3.2</v>
      </c>
      <c r="L76" s="80">
        <f t="shared" ref="L76" si="16">K76*F76</f>
        <v>1.3665280000000002E-2</v>
      </c>
      <c r="M76" s="26">
        <f t="shared" si="15"/>
        <v>1.3665280000000002E-2</v>
      </c>
      <c r="N76" s="60"/>
      <c r="O76" s="61"/>
      <c r="P76" s="62"/>
      <c r="Q76" s="61"/>
      <c r="R76" s="61"/>
      <c r="AB76" s="4" t="s">
        <v>40</v>
      </c>
    </row>
    <row r="77" spans="1:28" s="70" customFormat="1" x14ac:dyDescent="0.25">
      <c r="A77" s="109"/>
      <c r="B77" s="26"/>
      <c r="C77" s="26" t="s">
        <v>197</v>
      </c>
      <c r="D77" s="77" t="s">
        <v>24</v>
      </c>
      <c r="E77" s="110">
        <v>1.03</v>
      </c>
      <c r="F77" s="110">
        <f>E77*F74/0.05</f>
        <v>0.51747199999999993</v>
      </c>
      <c r="G77" s="26">
        <v>1.86</v>
      </c>
      <c r="H77" s="80">
        <f t="shared" ref="H77:H80" si="17">G77*F77</f>
        <v>0.9624979199999999</v>
      </c>
      <c r="I77" s="26"/>
      <c r="J77" s="80"/>
      <c r="K77" s="26"/>
      <c r="L77" s="80"/>
      <c r="M77" s="26">
        <f t="shared" si="15"/>
        <v>0.9624979199999999</v>
      </c>
      <c r="N77" s="60"/>
      <c r="O77" s="61"/>
      <c r="P77" s="62"/>
      <c r="Q77" s="61"/>
      <c r="R77" s="61"/>
      <c r="AB77" s="4" t="s">
        <v>40</v>
      </c>
    </row>
    <row r="78" spans="1:28" s="70" customFormat="1" x14ac:dyDescent="0.25">
      <c r="A78" s="109"/>
      <c r="B78" s="26"/>
      <c r="C78" s="26" t="s">
        <v>198</v>
      </c>
      <c r="D78" s="77" t="s">
        <v>61</v>
      </c>
      <c r="E78" s="110">
        <v>10.6</v>
      </c>
      <c r="F78" s="110">
        <f>F74*E78</f>
        <v>0.26627200000000001</v>
      </c>
      <c r="G78" s="26">
        <v>1.9</v>
      </c>
      <c r="H78" s="80">
        <f t="shared" si="17"/>
        <v>0.50591679999999994</v>
      </c>
      <c r="I78" s="26"/>
      <c r="J78" s="80"/>
      <c r="K78" s="26"/>
      <c r="L78" s="80"/>
      <c r="M78" s="26">
        <f t="shared" si="15"/>
        <v>0.50591679999999994</v>
      </c>
      <c r="N78" s="60"/>
      <c r="O78" s="61"/>
      <c r="P78" s="62"/>
      <c r="Q78" s="61"/>
      <c r="R78" s="61"/>
      <c r="AB78" s="4" t="s">
        <v>40</v>
      </c>
    </row>
    <row r="79" spans="1:28" s="70" customFormat="1" x14ac:dyDescent="0.25">
      <c r="A79" s="109"/>
      <c r="B79" s="26"/>
      <c r="C79" s="26" t="s">
        <v>199</v>
      </c>
      <c r="D79" s="77" t="s">
        <v>61</v>
      </c>
      <c r="E79" s="110">
        <v>1</v>
      </c>
      <c r="F79" s="110">
        <f>F74*E79</f>
        <v>2.512E-2</v>
      </c>
      <c r="G79" s="26">
        <v>1.7</v>
      </c>
      <c r="H79" s="80">
        <f t="shared" si="17"/>
        <v>4.2703999999999999E-2</v>
      </c>
      <c r="I79" s="26"/>
      <c r="J79" s="80"/>
      <c r="K79" s="26"/>
      <c r="L79" s="80"/>
      <c r="M79" s="26">
        <f t="shared" si="15"/>
        <v>4.2703999999999999E-2</v>
      </c>
      <c r="N79" s="60"/>
      <c r="O79" s="61"/>
      <c r="P79" s="62"/>
      <c r="Q79" s="61"/>
      <c r="R79" s="61"/>
      <c r="AB79" s="4" t="s">
        <v>40</v>
      </c>
    </row>
    <row r="80" spans="1:28" s="70" customFormat="1" x14ac:dyDescent="0.25">
      <c r="A80" s="109"/>
      <c r="B80" s="26"/>
      <c r="C80" s="26" t="s">
        <v>74</v>
      </c>
      <c r="D80" s="77" t="s">
        <v>1</v>
      </c>
      <c r="E80" s="110">
        <v>0.9</v>
      </c>
      <c r="F80" s="110">
        <f>F74*E80</f>
        <v>2.2608E-2</v>
      </c>
      <c r="G80" s="26">
        <v>3.2</v>
      </c>
      <c r="H80" s="80">
        <f t="shared" si="17"/>
        <v>7.2345599999999996E-2</v>
      </c>
      <c r="I80" s="26"/>
      <c r="J80" s="80"/>
      <c r="K80" s="26"/>
      <c r="L80" s="80"/>
      <c r="M80" s="26">
        <f t="shared" si="15"/>
        <v>7.2345599999999996E-2</v>
      </c>
      <c r="N80" s="60"/>
      <c r="O80" s="61"/>
      <c r="P80" s="62"/>
      <c r="Q80" s="61"/>
      <c r="R80" s="61"/>
      <c r="AB80" s="4" t="s">
        <v>40</v>
      </c>
    </row>
    <row r="81" spans="1:28" s="81" customFormat="1" ht="27" x14ac:dyDescent="0.25">
      <c r="A81" s="49" t="s">
        <v>39</v>
      </c>
      <c r="B81" s="68" t="s">
        <v>78</v>
      </c>
      <c r="C81" s="68" t="s">
        <v>79</v>
      </c>
      <c r="D81" s="83" t="s">
        <v>24</v>
      </c>
      <c r="E81" s="78"/>
      <c r="F81" s="78">
        <f>(2.2+2.2+1)*0.4*2*1.1</f>
        <v>4.7520000000000007</v>
      </c>
      <c r="G81" s="79"/>
      <c r="H81" s="80"/>
      <c r="I81" s="57"/>
      <c r="J81" s="57"/>
      <c r="K81" s="80"/>
      <c r="L81" s="80"/>
      <c r="M81" s="57"/>
      <c r="N81" s="60"/>
      <c r="O81" s="61"/>
      <c r="P81" s="62"/>
      <c r="Q81" s="62"/>
      <c r="R81" s="61"/>
      <c r="S81" s="70"/>
      <c r="AB81" s="4" t="s">
        <v>40</v>
      </c>
    </row>
    <row r="82" spans="1:28" s="81" customFormat="1" x14ac:dyDescent="0.25">
      <c r="A82" s="77"/>
      <c r="B82" s="55"/>
      <c r="C82" s="55" t="s">
        <v>30</v>
      </c>
      <c r="D82" s="77" t="s">
        <v>24</v>
      </c>
      <c r="E82" s="31">
        <v>1</v>
      </c>
      <c r="F82" s="82">
        <f>E82*F81</f>
        <v>4.7520000000000007</v>
      </c>
      <c r="G82" s="80"/>
      <c r="H82" s="80"/>
      <c r="I82" s="57">
        <v>8.5</v>
      </c>
      <c r="J82" s="57">
        <f>I82*F82</f>
        <v>40.392000000000003</v>
      </c>
      <c r="K82" s="80"/>
      <c r="L82" s="80"/>
      <c r="M82" s="57">
        <f>L82+J82+H82</f>
        <v>40.392000000000003</v>
      </c>
      <c r="N82" s="60"/>
      <c r="O82" s="61"/>
      <c r="P82" s="62"/>
      <c r="Q82" s="61"/>
      <c r="R82" s="61"/>
      <c r="S82" s="70"/>
      <c r="AB82" s="4" t="s">
        <v>40</v>
      </c>
    </row>
    <row r="83" spans="1:28" s="81" customFormat="1" x14ac:dyDescent="0.25">
      <c r="A83" s="77"/>
      <c r="B83" s="55"/>
      <c r="C83" s="55" t="s">
        <v>34</v>
      </c>
      <c r="D83" s="77" t="s">
        <v>1</v>
      </c>
      <c r="E83" s="82">
        <v>7.5999999999999998E-2</v>
      </c>
      <c r="F83" s="82">
        <f>E83*F81</f>
        <v>0.36115200000000003</v>
      </c>
      <c r="G83" s="80"/>
      <c r="H83" s="80"/>
      <c r="I83" s="57"/>
      <c r="J83" s="57"/>
      <c r="K83" s="80">
        <v>3.2</v>
      </c>
      <c r="L83" s="80">
        <f>K83*F83</f>
        <v>1.1556864000000002</v>
      </c>
      <c r="M83" s="57">
        <f>L83+J83+H83</f>
        <v>1.1556864000000002</v>
      </c>
      <c r="N83" s="60"/>
      <c r="O83" s="61"/>
      <c r="P83" s="62"/>
      <c r="Q83" s="61"/>
      <c r="R83" s="61"/>
      <c r="S83" s="70"/>
      <c r="AB83" s="4" t="s">
        <v>40</v>
      </c>
    </row>
    <row r="84" spans="1:28" s="81" customFormat="1" x14ac:dyDescent="0.25">
      <c r="A84" s="77"/>
      <c r="B84" s="55"/>
      <c r="C84" s="55" t="s">
        <v>80</v>
      </c>
      <c r="D84" s="55" t="s">
        <v>67</v>
      </c>
      <c r="E84" s="82">
        <v>4.3999999999999997E-2</v>
      </c>
      <c r="F84" s="82">
        <f>E84*F81</f>
        <v>0.20908800000000002</v>
      </c>
      <c r="G84" s="80">
        <v>90</v>
      </c>
      <c r="H84" s="80">
        <f>G84*F84</f>
        <v>18.817920000000001</v>
      </c>
      <c r="I84" s="57"/>
      <c r="J84" s="57"/>
      <c r="K84" s="80"/>
      <c r="L84" s="80"/>
      <c r="M84" s="57">
        <f>L84+J84+H84</f>
        <v>18.817920000000001</v>
      </c>
      <c r="N84" s="60"/>
      <c r="O84" s="61"/>
      <c r="P84" s="62"/>
      <c r="Q84" s="61"/>
      <c r="R84" s="61"/>
      <c r="S84" s="70"/>
      <c r="AB84" s="4" t="s">
        <v>40</v>
      </c>
    </row>
    <row r="85" spans="1:28" s="84" customFormat="1" ht="27" x14ac:dyDescent="0.25">
      <c r="A85" s="49" t="s">
        <v>39</v>
      </c>
      <c r="B85" s="83" t="s">
        <v>81</v>
      </c>
      <c r="C85" s="48" t="s">
        <v>156</v>
      </c>
      <c r="D85" s="83" t="s">
        <v>24</v>
      </c>
      <c r="E85" s="78"/>
      <c r="F85" s="78">
        <f>(2.2+2.2+1)*0.3*1.1</f>
        <v>1.7820000000000003</v>
      </c>
      <c r="G85" s="79"/>
      <c r="H85" s="80"/>
      <c r="I85" s="79"/>
      <c r="J85" s="80"/>
      <c r="K85" s="79"/>
      <c r="L85" s="80"/>
      <c r="M85" s="80"/>
      <c r="N85" s="60"/>
      <c r="O85" s="61"/>
      <c r="P85" s="62"/>
      <c r="Q85" s="62"/>
      <c r="R85" s="61"/>
      <c r="S85" s="70"/>
      <c r="AB85" s="4" t="s">
        <v>40</v>
      </c>
    </row>
    <row r="86" spans="1:28" s="84" customFormat="1" x14ac:dyDescent="0.25">
      <c r="A86" s="77"/>
      <c r="B86" s="83"/>
      <c r="C86" s="55" t="s">
        <v>30</v>
      </c>
      <c r="D86" s="77" t="s">
        <v>24</v>
      </c>
      <c r="E86" s="82">
        <v>1</v>
      </c>
      <c r="F86" s="82">
        <f>E86*F85</f>
        <v>1.7820000000000003</v>
      </c>
      <c r="G86" s="80"/>
      <c r="H86" s="80"/>
      <c r="I86" s="80">
        <v>6.25</v>
      </c>
      <c r="J86" s="80">
        <f>I86*F86</f>
        <v>11.137500000000001</v>
      </c>
      <c r="K86" s="80"/>
      <c r="L86" s="80"/>
      <c r="M86" s="80">
        <f>L86+J86+H86</f>
        <v>11.137500000000001</v>
      </c>
      <c r="N86" s="60"/>
      <c r="O86" s="61"/>
      <c r="P86" s="62"/>
      <c r="Q86" s="61"/>
      <c r="R86" s="61"/>
      <c r="S86" s="70"/>
      <c r="AB86" s="4" t="s">
        <v>40</v>
      </c>
    </row>
    <row r="87" spans="1:28" s="84" customFormat="1" x14ac:dyDescent="0.25">
      <c r="A87" s="77"/>
      <c r="B87" s="77"/>
      <c r="C87" s="55" t="s">
        <v>18</v>
      </c>
      <c r="D87" s="77" t="s">
        <v>1</v>
      </c>
      <c r="E87" s="82">
        <v>0.01</v>
      </c>
      <c r="F87" s="82">
        <f>E87*F85</f>
        <v>1.7820000000000003E-2</v>
      </c>
      <c r="G87" s="80"/>
      <c r="H87" s="80"/>
      <c r="I87" s="80"/>
      <c r="J87" s="80"/>
      <c r="K87" s="80">
        <v>3.2</v>
      </c>
      <c r="L87" s="80">
        <f>K87*F87</f>
        <v>5.7024000000000012E-2</v>
      </c>
      <c r="M87" s="80">
        <f>L87+J87+H87</f>
        <v>5.7024000000000012E-2</v>
      </c>
      <c r="N87" s="60"/>
      <c r="O87" s="61"/>
      <c r="P87" s="62"/>
      <c r="Q87" s="61"/>
      <c r="R87" s="61"/>
      <c r="S87" s="70"/>
      <c r="AB87" s="4" t="s">
        <v>40</v>
      </c>
    </row>
    <row r="88" spans="1:28" s="84" customFormat="1" x14ac:dyDescent="0.25">
      <c r="A88" s="77"/>
      <c r="B88" s="77"/>
      <c r="C88" s="55" t="s">
        <v>84</v>
      </c>
      <c r="D88" s="77" t="s">
        <v>61</v>
      </c>
      <c r="E88" s="82">
        <v>0.63</v>
      </c>
      <c r="F88" s="82">
        <f>E88*F85</f>
        <v>1.1226600000000002</v>
      </c>
      <c r="G88" s="80">
        <v>5.2</v>
      </c>
      <c r="H88" s="80">
        <f>G88*F88</f>
        <v>5.8378320000000015</v>
      </c>
      <c r="I88" s="80"/>
      <c r="J88" s="80"/>
      <c r="K88" s="80"/>
      <c r="L88" s="80"/>
      <c r="M88" s="80">
        <f>L88+J88+H88</f>
        <v>5.8378320000000015</v>
      </c>
      <c r="N88" s="60"/>
      <c r="O88" s="61"/>
      <c r="P88" s="62"/>
      <c r="Q88" s="61"/>
      <c r="R88" s="61"/>
      <c r="S88" s="70"/>
      <c r="AB88" s="4" t="s">
        <v>40</v>
      </c>
    </row>
    <row r="89" spans="1:28" s="84" customFormat="1" x14ac:dyDescent="0.25">
      <c r="A89" s="77"/>
      <c r="B89" s="77"/>
      <c r="C89" s="55" t="s">
        <v>107</v>
      </c>
      <c r="D89" s="77" t="s">
        <v>61</v>
      </c>
      <c r="E89" s="82">
        <v>0.79</v>
      </c>
      <c r="F89" s="82">
        <f>E89*F85</f>
        <v>1.4077800000000003</v>
      </c>
      <c r="G89" s="80">
        <v>3.5</v>
      </c>
      <c r="H89" s="80">
        <f>G89*F89</f>
        <v>4.9272300000000007</v>
      </c>
      <c r="I89" s="80"/>
      <c r="J89" s="80"/>
      <c r="K89" s="80"/>
      <c r="L89" s="80"/>
      <c r="M89" s="80">
        <f>L89+J89+H89</f>
        <v>4.9272300000000007</v>
      </c>
      <c r="N89" s="60"/>
      <c r="O89" s="61"/>
      <c r="P89" s="62"/>
      <c r="Q89" s="61"/>
      <c r="R89" s="61"/>
      <c r="S89" s="70"/>
      <c r="AB89" s="4" t="s">
        <v>40</v>
      </c>
    </row>
    <row r="90" spans="1:28" s="84" customFormat="1" x14ac:dyDescent="0.25">
      <c r="A90" s="77"/>
      <c r="B90" s="77"/>
      <c r="C90" s="55" t="s">
        <v>43</v>
      </c>
      <c r="D90" s="77" t="s">
        <v>1</v>
      </c>
      <c r="E90" s="82">
        <v>1.6E-2</v>
      </c>
      <c r="F90" s="82">
        <f>E90*F85</f>
        <v>2.8512000000000006E-2</v>
      </c>
      <c r="G90" s="80">
        <v>3.2</v>
      </c>
      <c r="H90" s="80">
        <f>G90*F90</f>
        <v>9.1238400000000025E-2</v>
      </c>
      <c r="I90" s="80"/>
      <c r="J90" s="80"/>
      <c r="K90" s="80"/>
      <c r="L90" s="80"/>
      <c r="M90" s="80">
        <f>L90+J90+H90</f>
        <v>9.1238400000000025E-2</v>
      </c>
      <c r="N90" s="60"/>
      <c r="O90" s="61"/>
      <c r="P90" s="62"/>
      <c r="Q90" s="61"/>
      <c r="R90" s="61"/>
      <c r="S90" s="70"/>
      <c r="AB90" s="4" t="s">
        <v>40</v>
      </c>
    </row>
    <row r="91" spans="1:28" s="95" customFormat="1" ht="27" x14ac:dyDescent="0.25">
      <c r="A91" s="49" t="s">
        <v>39</v>
      </c>
      <c r="B91" s="24" t="s">
        <v>102</v>
      </c>
      <c r="C91" s="24" t="s">
        <v>103</v>
      </c>
      <c r="D91" s="83" t="s">
        <v>24</v>
      </c>
      <c r="E91" s="25"/>
      <c r="F91" s="25">
        <f>(6+3+6+3)*3.2*1.1</f>
        <v>63.360000000000007</v>
      </c>
      <c r="G91" s="79"/>
      <c r="H91" s="80"/>
      <c r="I91" s="57"/>
      <c r="J91" s="57"/>
      <c r="K91" s="80"/>
      <c r="L91" s="80"/>
      <c r="M91" s="57"/>
      <c r="N91" s="60"/>
      <c r="O91" s="61"/>
      <c r="P91" s="62"/>
      <c r="Q91" s="89"/>
      <c r="R91" s="94"/>
      <c r="S91" s="90"/>
      <c r="AB91" s="4" t="s">
        <v>40</v>
      </c>
    </row>
    <row r="92" spans="1:28" s="95" customFormat="1" x14ac:dyDescent="0.25">
      <c r="A92" s="55"/>
      <c r="B92" s="55"/>
      <c r="C92" s="55" t="s">
        <v>104</v>
      </c>
      <c r="D92" s="77" t="s">
        <v>24</v>
      </c>
      <c r="E92" s="58">
        <v>0.11</v>
      </c>
      <c r="F92" s="96">
        <f>F91*E92</f>
        <v>6.9696000000000007</v>
      </c>
      <c r="G92" s="57"/>
      <c r="H92" s="30"/>
      <c r="I92" s="57">
        <v>4.5999999999999996</v>
      </c>
      <c r="J92" s="57">
        <f>F92*I92</f>
        <v>32.060160000000003</v>
      </c>
      <c r="K92" s="57"/>
      <c r="L92" s="30"/>
      <c r="M92" s="57">
        <f>H92+J92+L92</f>
        <v>32.060160000000003</v>
      </c>
      <c r="N92" s="60"/>
      <c r="O92" s="61"/>
      <c r="P92" s="62"/>
      <c r="Q92" s="89"/>
      <c r="R92" s="94"/>
      <c r="S92" s="90"/>
      <c r="AB92" s="4" t="s">
        <v>40</v>
      </c>
    </row>
    <row r="93" spans="1:28" s="70" customFormat="1" ht="27" x14ac:dyDescent="0.25">
      <c r="A93" s="49" t="s">
        <v>39</v>
      </c>
      <c r="B93" s="83" t="s">
        <v>85</v>
      </c>
      <c r="C93" s="48" t="s">
        <v>206</v>
      </c>
      <c r="D93" s="48" t="s">
        <v>24</v>
      </c>
      <c r="E93" s="67"/>
      <c r="F93" s="67">
        <f>3*3.2*1.1</f>
        <v>10.560000000000002</v>
      </c>
      <c r="G93" s="48"/>
      <c r="H93" s="48"/>
      <c r="I93" s="48"/>
      <c r="J93" s="48"/>
      <c r="K93" s="48"/>
      <c r="L93" s="48"/>
      <c r="M93" s="48"/>
      <c r="N93" s="60"/>
      <c r="O93" s="61"/>
      <c r="P93" s="62"/>
      <c r="Q93" s="85"/>
      <c r="R93" s="61"/>
      <c r="S93" s="86"/>
      <c r="AB93" s="4" t="s">
        <v>40</v>
      </c>
    </row>
    <row r="94" spans="1:28" s="70" customFormat="1" x14ac:dyDescent="0.25">
      <c r="A94" s="87"/>
      <c r="B94" s="57"/>
      <c r="C94" s="57" t="s">
        <v>86</v>
      </c>
      <c r="D94" s="77" t="s">
        <v>24</v>
      </c>
      <c r="E94" s="58">
        <v>1</v>
      </c>
      <c r="F94" s="58">
        <f>F93*E94</f>
        <v>10.560000000000002</v>
      </c>
      <c r="G94" s="57"/>
      <c r="H94" s="57"/>
      <c r="I94" s="57">
        <v>10</v>
      </c>
      <c r="J94" s="57">
        <f>I94*F94</f>
        <v>105.60000000000002</v>
      </c>
      <c r="K94" s="57"/>
      <c r="L94" s="57"/>
      <c r="M94" s="57">
        <f t="shared" ref="M94:M106" si="18">H94+J94+L94</f>
        <v>105.60000000000002</v>
      </c>
      <c r="N94" s="60"/>
      <c r="O94" s="61"/>
      <c r="P94" s="62"/>
      <c r="Q94" s="62"/>
      <c r="R94" s="61"/>
      <c r="S94" s="88"/>
      <c r="AB94" s="4" t="s">
        <v>40</v>
      </c>
    </row>
    <row r="95" spans="1:28" s="70" customFormat="1" x14ac:dyDescent="0.25">
      <c r="A95" s="87"/>
      <c r="B95" s="57"/>
      <c r="C95" s="57" t="s">
        <v>34</v>
      </c>
      <c r="D95" s="57" t="s">
        <v>1</v>
      </c>
      <c r="E95" s="58">
        <f>2.44/100+1.79/100</f>
        <v>4.2299999999999997E-2</v>
      </c>
      <c r="F95" s="58">
        <f>E95*F93</f>
        <v>0.44668800000000008</v>
      </c>
      <c r="G95" s="57"/>
      <c r="H95" s="57"/>
      <c r="I95" s="57"/>
      <c r="J95" s="57"/>
      <c r="K95" s="57">
        <v>3.2</v>
      </c>
      <c r="L95" s="57">
        <f>K95*F95</f>
        <v>1.4294016000000003</v>
      </c>
      <c r="M95" s="57">
        <f t="shared" si="18"/>
        <v>1.4294016000000003</v>
      </c>
      <c r="N95" s="60"/>
      <c r="O95" s="61"/>
      <c r="P95" s="62"/>
      <c r="Q95" s="89"/>
      <c r="R95" s="61"/>
      <c r="S95" s="90"/>
      <c r="AB95" s="4" t="s">
        <v>40</v>
      </c>
    </row>
    <row r="96" spans="1:28" s="70" customFormat="1" x14ac:dyDescent="0.25">
      <c r="A96" s="91"/>
      <c r="B96" s="57"/>
      <c r="C96" s="57" t="s">
        <v>87</v>
      </c>
      <c r="D96" s="57" t="s">
        <v>24</v>
      </c>
      <c r="E96" s="58">
        <v>2.1</v>
      </c>
      <c r="F96" s="58">
        <f>E96*F93</f>
        <v>22.176000000000005</v>
      </c>
      <c r="G96" s="57">
        <v>4.5</v>
      </c>
      <c r="H96" s="57">
        <f t="shared" ref="H96:H106" si="19">F96*G96</f>
        <v>99.79200000000003</v>
      </c>
      <c r="I96" s="57"/>
      <c r="J96" s="57"/>
      <c r="K96" s="57"/>
      <c r="L96" s="57"/>
      <c r="M96" s="57">
        <f t="shared" si="18"/>
        <v>99.79200000000003</v>
      </c>
      <c r="N96" s="60"/>
      <c r="O96" s="61"/>
      <c r="P96" s="62"/>
      <c r="Q96" s="89"/>
      <c r="R96" s="61"/>
      <c r="S96" s="90"/>
      <c r="AB96" s="4" t="s">
        <v>40</v>
      </c>
    </row>
    <row r="97" spans="1:28" s="70" customFormat="1" x14ac:dyDescent="0.25">
      <c r="A97" s="87"/>
      <c r="B97" s="57"/>
      <c r="C97" s="57" t="s">
        <v>88</v>
      </c>
      <c r="D97" s="57" t="s">
        <v>28</v>
      </c>
      <c r="E97" s="58">
        <v>0.7</v>
      </c>
      <c r="F97" s="58">
        <f>E97*F93</f>
        <v>7.3920000000000012</v>
      </c>
      <c r="G97" s="57">
        <v>0.75</v>
      </c>
      <c r="H97" s="57">
        <f t="shared" si="19"/>
        <v>5.5440000000000005</v>
      </c>
      <c r="I97" s="57"/>
      <c r="J97" s="57"/>
      <c r="K97" s="57"/>
      <c r="L97" s="57"/>
      <c r="M97" s="57">
        <f t="shared" si="18"/>
        <v>5.5440000000000005</v>
      </c>
      <c r="N97" s="60"/>
      <c r="O97" s="61"/>
      <c r="P97" s="62"/>
      <c r="Q97" s="89"/>
      <c r="R97" s="61"/>
      <c r="S97" s="90"/>
      <c r="AB97" s="4" t="s">
        <v>40</v>
      </c>
    </row>
    <row r="98" spans="1:28" s="70" customFormat="1" x14ac:dyDescent="0.25">
      <c r="A98" s="87"/>
      <c r="B98" s="57"/>
      <c r="C98" s="57" t="s">
        <v>89</v>
      </c>
      <c r="D98" s="57" t="s">
        <v>28</v>
      </c>
      <c r="E98" s="58">
        <v>2</v>
      </c>
      <c r="F98" s="58">
        <f>E98*F93</f>
        <v>21.120000000000005</v>
      </c>
      <c r="G98" s="57">
        <v>0.45</v>
      </c>
      <c r="H98" s="57">
        <f t="shared" si="19"/>
        <v>9.5040000000000031</v>
      </c>
      <c r="I98" s="57"/>
      <c r="J98" s="57"/>
      <c r="K98" s="57"/>
      <c r="L98" s="57"/>
      <c r="M98" s="57">
        <f t="shared" si="18"/>
        <v>9.5040000000000031</v>
      </c>
      <c r="N98" s="60"/>
      <c r="O98" s="61"/>
      <c r="P98" s="62"/>
      <c r="Q98" s="89"/>
      <c r="R98" s="61"/>
      <c r="S98" s="90"/>
      <c r="AB98" s="4" t="s">
        <v>40</v>
      </c>
    </row>
    <row r="99" spans="1:28" s="70" customFormat="1" x14ac:dyDescent="0.25">
      <c r="A99" s="91"/>
      <c r="B99" s="57"/>
      <c r="C99" s="57" t="s">
        <v>90</v>
      </c>
      <c r="D99" s="57" t="s">
        <v>25</v>
      </c>
      <c r="E99" s="58">
        <v>29</v>
      </c>
      <c r="F99" s="58">
        <f>E99*F93</f>
        <v>306.24000000000007</v>
      </c>
      <c r="G99" s="57">
        <v>0.01</v>
      </c>
      <c r="H99" s="57">
        <f t="shared" si="19"/>
        <v>3.0624000000000007</v>
      </c>
      <c r="I99" s="57"/>
      <c r="J99" s="57"/>
      <c r="K99" s="57"/>
      <c r="L99" s="57"/>
      <c r="M99" s="57">
        <f t="shared" si="18"/>
        <v>3.0624000000000007</v>
      </c>
      <c r="N99" s="60"/>
      <c r="O99" s="61"/>
      <c r="P99" s="62"/>
      <c r="Q99" s="89"/>
      <c r="R99" s="61"/>
      <c r="S99" s="90"/>
      <c r="AB99" s="4" t="s">
        <v>40</v>
      </c>
    </row>
    <row r="100" spans="1:28" s="70" customFormat="1" x14ac:dyDescent="0.25">
      <c r="A100" s="91"/>
      <c r="B100" s="57"/>
      <c r="C100" s="57" t="s">
        <v>91</v>
      </c>
      <c r="D100" s="57" t="s">
        <v>61</v>
      </c>
      <c r="E100" s="58">
        <v>0.6</v>
      </c>
      <c r="F100" s="58">
        <f>E100*F93</f>
        <v>6.3360000000000012</v>
      </c>
      <c r="G100" s="57">
        <v>0.45</v>
      </c>
      <c r="H100" s="57">
        <f t="shared" si="19"/>
        <v>2.8512000000000004</v>
      </c>
      <c r="I100" s="57"/>
      <c r="J100" s="57"/>
      <c r="K100" s="57"/>
      <c r="L100" s="57"/>
      <c r="M100" s="57">
        <f t="shared" si="18"/>
        <v>2.8512000000000004</v>
      </c>
      <c r="N100" s="60"/>
      <c r="O100" s="61"/>
      <c r="P100" s="62"/>
      <c r="Q100" s="89"/>
      <c r="R100" s="61"/>
      <c r="S100" s="90"/>
      <c r="AB100" s="4" t="s">
        <v>40</v>
      </c>
    </row>
    <row r="101" spans="1:28" s="70" customFormat="1" x14ac:dyDescent="0.25">
      <c r="A101" s="91"/>
      <c r="B101" s="57"/>
      <c r="C101" s="57" t="s">
        <v>92</v>
      </c>
      <c r="D101" s="57" t="s">
        <v>28</v>
      </c>
      <c r="E101" s="58">
        <v>1.5</v>
      </c>
      <c r="F101" s="58">
        <f>E101*F93</f>
        <v>15.840000000000003</v>
      </c>
      <c r="G101" s="57">
        <v>0.1</v>
      </c>
      <c r="H101" s="57">
        <f t="shared" si="19"/>
        <v>1.5840000000000005</v>
      </c>
      <c r="I101" s="57"/>
      <c r="J101" s="57"/>
      <c r="K101" s="57"/>
      <c r="L101" s="57"/>
      <c r="M101" s="57">
        <f t="shared" si="18"/>
        <v>1.5840000000000005</v>
      </c>
      <c r="N101" s="60"/>
      <c r="O101" s="61"/>
      <c r="P101" s="62"/>
      <c r="Q101" s="89"/>
      <c r="R101" s="61"/>
      <c r="S101" s="90"/>
      <c r="AB101" s="4" t="s">
        <v>40</v>
      </c>
    </row>
    <row r="102" spans="1:28" s="70" customFormat="1" x14ac:dyDescent="0.25">
      <c r="A102" s="91"/>
      <c r="B102" s="57"/>
      <c r="C102" s="57" t="s">
        <v>93</v>
      </c>
      <c r="D102" s="57" t="s">
        <v>25</v>
      </c>
      <c r="E102" s="58">
        <v>1.5</v>
      </c>
      <c r="F102" s="58">
        <f>E102*F93</f>
        <v>15.840000000000003</v>
      </c>
      <c r="G102" s="57">
        <v>5.0999999999999997E-2</v>
      </c>
      <c r="H102" s="57">
        <f t="shared" si="19"/>
        <v>0.80784000000000011</v>
      </c>
      <c r="I102" s="57"/>
      <c r="J102" s="57"/>
      <c r="K102" s="57"/>
      <c r="L102" s="57"/>
      <c r="M102" s="57">
        <f t="shared" si="18"/>
        <v>0.80784000000000011</v>
      </c>
      <c r="N102" s="60"/>
      <c r="O102" s="61"/>
      <c r="P102" s="62"/>
      <c r="Q102" s="89"/>
      <c r="R102" s="61"/>
      <c r="S102" s="90"/>
      <c r="AB102" s="4" t="s">
        <v>40</v>
      </c>
    </row>
    <row r="103" spans="1:28" s="70" customFormat="1" x14ac:dyDescent="0.25">
      <c r="A103" s="91"/>
      <c r="B103" s="57"/>
      <c r="C103" s="57" t="s">
        <v>94</v>
      </c>
      <c r="D103" s="57" t="s">
        <v>25</v>
      </c>
      <c r="E103" s="58">
        <v>1.2</v>
      </c>
      <c r="F103" s="58">
        <f>E103*F93</f>
        <v>12.672000000000002</v>
      </c>
      <c r="G103" s="57">
        <v>0.15</v>
      </c>
      <c r="H103" s="57">
        <f t="shared" si="19"/>
        <v>1.9008000000000003</v>
      </c>
      <c r="I103" s="57"/>
      <c r="J103" s="57"/>
      <c r="K103" s="57"/>
      <c r="L103" s="57"/>
      <c r="M103" s="57">
        <f t="shared" si="18"/>
        <v>1.9008000000000003</v>
      </c>
      <c r="N103" s="60"/>
      <c r="O103" s="61"/>
      <c r="P103" s="62"/>
      <c r="Q103" s="89"/>
      <c r="R103" s="61"/>
      <c r="S103" s="90"/>
      <c r="AB103" s="4" t="s">
        <v>40</v>
      </c>
    </row>
    <row r="104" spans="1:28" s="70" customFormat="1" x14ac:dyDescent="0.25">
      <c r="A104" s="91"/>
      <c r="B104" s="57"/>
      <c r="C104" s="57" t="s">
        <v>95</v>
      </c>
      <c r="D104" s="57" t="s">
        <v>25</v>
      </c>
      <c r="E104" s="58">
        <v>0.2</v>
      </c>
      <c r="F104" s="58">
        <f>E104*F93</f>
        <v>2.1120000000000005</v>
      </c>
      <c r="G104" s="57">
        <v>0.35</v>
      </c>
      <c r="H104" s="57">
        <f t="shared" si="19"/>
        <v>0.73920000000000019</v>
      </c>
      <c r="I104" s="57"/>
      <c r="J104" s="57"/>
      <c r="K104" s="57"/>
      <c r="L104" s="57"/>
      <c r="M104" s="57">
        <f t="shared" si="18"/>
        <v>0.73920000000000019</v>
      </c>
      <c r="N104" s="60"/>
      <c r="O104" s="61"/>
      <c r="P104" s="62"/>
      <c r="Q104" s="89"/>
      <c r="R104" s="61"/>
      <c r="S104" s="90"/>
      <c r="AB104" s="4" t="s">
        <v>40</v>
      </c>
    </row>
    <row r="105" spans="1:28" s="70" customFormat="1" x14ac:dyDescent="0.25">
      <c r="A105" s="91"/>
      <c r="B105" s="57"/>
      <c r="C105" s="57" t="s">
        <v>96</v>
      </c>
      <c r="D105" s="57" t="s">
        <v>25</v>
      </c>
      <c r="E105" s="58">
        <v>1</v>
      </c>
      <c r="F105" s="58">
        <f>E105*F93</f>
        <v>10.560000000000002</v>
      </c>
      <c r="G105" s="57">
        <v>1.23</v>
      </c>
      <c r="H105" s="57">
        <f t="shared" si="19"/>
        <v>12.988800000000003</v>
      </c>
      <c r="I105" s="57"/>
      <c r="J105" s="57"/>
      <c r="K105" s="57"/>
      <c r="L105" s="57"/>
      <c r="M105" s="57">
        <f t="shared" si="18"/>
        <v>12.988800000000003</v>
      </c>
      <c r="N105" s="60"/>
      <c r="O105" s="61"/>
      <c r="P105" s="62"/>
      <c r="Q105" s="89"/>
      <c r="R105" s="61"/>
      <c r="S105" s="90"/>
      <c r="AB105" s="4" t="s">
        <v>40</v>
      </c>
    </row>
    <row r="106" spans="1:28" s="70" customFormat="1" x14ac:dyDescent="0.25">
      <c r="A106" s="87"/>
      <c r="B106" s="57"/>
      <c r="C106" s="57" t="s">
        <v>74</v>
      </c>
      <c r="D106" s="57" t="s">
        <v>1</v>
      </c>
      <c r="E106" s="58">
        <v>0.13200000000000001</v>
      </c>
      <c r="F106" s="58">
        <f>E106*F93</f>
        <v>1.3939200000000003</v>
      </c>
      <c r="G106" s="57">
        <v>3.2</v>
      </c>
      <c r="H106" s="57">
        <f t="shared" si="19"/>
        <v>4.4605440000000014</v>
      </c>
      <c r="I106" s="57"/>
      <c r="J106" s="57"/>
      <c r="K106" s="57"/>
      <c r="L106" s="57"/>
      <c r="M106" s="57">
        <f t="shared" si="18"/>
        <v>4.4605440000000014</v>
      </c>
      <c r="N106" s="60"/>
      <c r="O106" s="61"/>
      <c r="P106" s="62"/>
      <c r="Q106" s="89"/>
      <c r="R106" s="61"/>
      <c r="S106" s="90"/>
      <c r="AB106" s="4" t="s">
        <v>40</v>
      </c>
    </row>
    <row r="107" spans="1:28" s="70" customFormat="1" x14ac:dyDescent="0.25">
      <c r="A107" s="49" t="s">
        <v>39</v>
      </c>
      <c r="B107" s="83" t="s">
        <v>106</v>
      </c>
      <c r="C107" s="48" t="s">
        <v>207</v>
      </c>
      <c r="D107" s="83" t="s">
        <v>24</v>
      </c>
      <c r="E107" s="78"/>
      <c r="F107" s="78">
        <f>6.9*3*1.1</f>
        <v>22.770000000000007</v>
      </c>
      <c r="G107" s="79"/>
      <c r="H107" s="80"/>
      <c r="I107" s="79"/>
      <c r="J107" s="80"/>
      <c r="K107" s="79"/>
      <c r="L107" s="80"/>
      <c r="M107" s="80"/>
      <c r="N107" s="60"/>
      <c r="O107" s="61"/>
      <c r="P107" s="62"/>
      <c r="Q107" s="62"/>
      <c r="R107" s="61"/>
      <c r="AB107" s="4" t="s">
        <v>40</v>
      </c>
    </row>
    <row r="108" spans="1:28" s="70" customFormat="1" x14ac:dyDescent="0.25">
      <c r="A108" s="77"/>
      <c r="B108" s="83"/>
      <c r="C108" s="55" t="s">
        <v>30</v>
      </c>
      <c r="D108" s="77" t="s">
        <v>24</v>
      </c>
      <c r="E108" s="82">
        <v>1</v>
      </c>
      <c r="F108" s="82">
        <f>E108*F107</f>
        <v>22.770000000000007</v>
      </c>
      <c r="G108" s="80"/>
      <c r="H108" s="80"/>
      <c r="I108" s="80">
        <v>7.5</v>
      </c>
      <c r="J108" s="80">
        <f>I108*F108</f>
        <v>170.77500000000006</v>
      </c>
      <c r="K108" s="80"/>
      <c r="L108" s="80"/>
      <c r="M108" s="80">
        <f>L108+J108+H108</f>
        <v>170.77500000000006</v>
      </c>
      <c r="N108" s="60"/>
      <c r="O108" s="61"/>
      <c r="P108" s="62"/>
      <c r="Q108" s="61"/>
      <c r="R108" s="61"/>
      <c r="AB108" s="4" t="s">
        <v>40</v>
      </c>
    </row>
    <row r="109" spans="1:28" s="70" customFormat="1" x14ac:dyDescent="0.25">
      <c r="A109" s="77"/>
      <c r="B109" s="77"/>
      <c r="C109" s="55" t="s">
        <v>18</v>
      </c>
      <c r="D109" s="77" t="s">
        <v>1</v>
      </c>
      <c r="E109" s="82">
        <v>1.2E-2</v>
      </c>
      <c r="F109" s="82">
        <f>E109*F107</f>
        <v>0.27324000000000009</v>
      </c>
      <c r="G109" s="80"/>
      <c r="H109" s="80"/>
      <c r="I109" s="80"/>
      <c r="J109" s="80"/>
      <c r="K109" s="80">
        <v>3.2</v>
      </c>
      <c r="L109" s="80">
        <f>K109*F109</f>
        <v>0.87436800000000037</v>
      </c>
      <c r="M109" s="80">
        <f>L109+J109+H109</f>
        <v>0.87436800000000037</v>
      </c>
      <c r="N109" s="60"/>
      <c r="O109" s="61"/>
      <c r="P109" s="62"/>
      <c r="Q109" s="61"/>
      <c r="R109" s="61"/>
      <c r="AB109" s="4" t="s">
        <v>40</v>
      </c>
    </row>
    <row r="110" spans="1:28" s="70" customFormat="1" x14ac:dyDescent="0.25">
      <c r="A110" s="77"/>
      <c r="B110" s="77"/>
      <c r="C110" s="55" t="s">
        <v>82</v>
      </c>
      <c r="D110" s="77" t="s">
        <v>61</v>
      </c>
      <c r="E110" s="82">
        <v>0.63</v>
      </c>
      <c r="F110" s="82">
        <f>E110*F107</f>
        <v>14.345100000000004</v>
      </c>
      <c r="G110" s="80">
        <v>5.2</v>
      </c>
      <c r="H110" s="80">
        <f>G110*F110</f>
        <v>74.594520000000017</v>
      </c>
      <c r="I110" s="80"/>
      <c r="J110" s="80"/>
      <c r="K110" s="80"/>
      <c r="L110" s="80"/>
      <c r="M110" s="80">
        <f>L110+J110+H110</f>
        <v>74.594520000000017</v>
      </c>
      <c r="N110" s="60"/>
      <c r="O110" s="61"/>
      <c r="P110" s="62"/>
      <c r="Q110" s="61"/>
      <c r="R110" s="61"/>
      <c r="AB110" s="4" t="s">
        <v>40</v>
      </c>
    </row>
    <row r="111" spans="1:28" s="70" customFormat="1" x14ac:dyDescent="0.25">
      <c r="A111" s="77"/>
      <c r="B111" s="77"/>
      <c r="C111" s="55" t="s">
        <v>83</v>
      </c>
      <c r="D111" s="77" t="s">
        <v>61</v>
      </c>
      <c r="E111" s="82">
        <v>0.92</v>
      </c>
      <c r="F111" s="82">
        <f>E111*F107</f>
        <v>20.948400000000007</v>
      </c>
      <c r="G111" s="80">
        <v>3.5</v>
      </c>
      <c r="H111" s="80">
        <f>G111*F111</f>
        <v>73.31940000000003</v>
      </c>
      <c r="I111" s="80"/>
      <c r="J111" s="80"/>
      <c r="K111" s="80"/>
      <c r="L111" s="80"/>
      <c r="M111" s="80">
        <f>L111+J111+H111</f>
        <v>73.31940000000003</v>
      </c>
      <c r="N111" s="60"/>
      <c r="O111" s="61"/>
      <c r="P111" s="62"/>
      <c r="Q111" s="61"/>
      <c r="R111" s="61"/>
      <c r="AB111" s="4" t="s">
        <v>40</v>
      </c>
    </row>
    <row r="112" spans="1:28" s="70" customFormat="1" x14ac:dyDescent="0.25">
      <c r="A112" s="77"/>
      <c r="B112" s="77"/>
      <c r="C112" s="55" t="s">
        <v>43</v>
      </c>
      <c r="D112" s="77" t="s">
        <v>1</v>
      </c>
      <c r="E112" s="82">
        <v>1.8000000000000002E-2</v>
      </c>
      <c r="F112" s="82">
        <f>E112*F107</f>
        <v>0.40986000000000017</v>
      </c>
      <c r="G112" s="80">
        <v>3.2</v>
      </c>
      <c r="H112" s="80">
        <f>G112*F112</f>
        <v>1.3115520000000007</v>
      </c>
      <c r="I112" s="80"/>
      <c r="J112" s="80"/>
      <c r="K112" s="80"/>
      <c r="L112" s="80"/>
      <c r="M112" s="80">
        <f>L112+J112+H112</f>
        <v>1.3115520000000007</v>
      </c>
      <c r="N112" s="60"/>
      <c r="O112" s="61"/>
      <c r="P112" s="62"/>
      <c r="Q112" s="61"/>
      <c r="R112" s="61"/>
      <c r="AB112" s="4" t="s">
        <v>40</v>
      </c>
    </row>
    <row r="113" spans="1:28" s="70" customFormat="1" ht="27" x14ac:dyDescent="0.25">
      <c r="A113" s="49" t="s">
        <v>39</v>
      </c>
      <c r="B113" s="83" t="s">
        <v>97</v>
      </c>
      <c r="C113" s="68" t="s">
        <v>105</v>
      </c>
      <c r="D113" s="83" t="s">
        <v>24</v>
      </c>
      <c r="E113" s="78"/>
      <c r="F113" s="25">
        <f>(6+3+6+3+3+3)*3.2*1.1</f>
        <v>84.480000000000018</v>
      </c>
      <c r="G113" s="79"/>
      <c r="H113" s="80"/>
      <c r="I113" s="79"/>
      <c r="J113" s="80"/>
      <c r="K113" s="79"/>
      <c r="L113" s="80"/>
      <c r="M113" s="80"/>
      <c r="N113" s="60"/>
      <c r="O113" s="61"/>
      <c r="P113" s="62"/>
      <c r="Q113" s="62"/>
      <c r="R113" s="61"/>
      <c r="AB113" s="4" t="s">
        <v>40</v>
      </c>
    </row>
    <row r="114" spans="1:28" s="70" customFormat="1" x14ac:dyDescent="0.25">
      <c r="A114" s="77"/>
      <c r="B114" s="83"/>
      <c r="C114" s="55" t="s">
        <v>30</v>
      </c>
      <c r="D114" s="77" t="s">
        <v>24</v>
      </c>
      <c r="E114" s="82">
        <v>1</v>
      </c>
      <c r="F114" s="82">
        <f>E114*F113</f>
        <v>84.480000000000018</v>
      </c>
      <c r="G114" s="80"/>
      <c r="H114" s="80"/>
      <c r="I114" s="80">
        <v>6</v>
      </c>
      <c r="J114" s="80">
        <f>I114*F114</f>
        <v>506.88000000000011</v>
      </c>
      <c r="K114" s="80"/>
      <c r="L114" s="80"/>
      <c r="M114" s="80">
        <f t="shared" ref="M114:M119" si="20">L114+J114+H114</f>
        <v>506.88000000000011</v>
      </c>
      <c r="N114" s="60"/>
      <c r="O114" s="61"/>
      <c r="P114" s="62"/>
      <c r="Q114" s="61"/>
      <c r="R114" s="61"/>
      <c r="AB114" s="4" t="s">
        <v>40</v>
      </c>
    </row>
    <row r="115" spans="1:28" s="70" customFormat="1" x14ac:dyDescent="0.25">
      <c r="A115" s="77"/>
      <c r="B115" s="77"/>
      <c r="C115" s="55" t="s">
        <v>98</v>
      </c>
      <c r="D115" s="77" t="s">
        <v>1</v>
      </c>
      <c r="E115" s="82">
        <v>1E-3</v>
      </c>
      <c r="F115" s="82">
        <f>E115*F113</f>
        <v>8.4480000000000013E-2</v>
      </c>
      <c r="G115" s="80"/>
      <c r="H115" s="80"/>
      <c r="I115" s="80"/>
      <c r="J115" s="80"/>
      <c r="K115" s="80">
        <v>3.2</v>
      </c>
      <c r="L115" s="80">
        <f>K115*F115</f>
        <v>0.27033600000000008</v>
      </c>
      <c r="M115" s="80">
        <f t="shared" si="20"/>
        <v>0.27033600000000008</v>
      </c>
      <c r="N115" s="60"/>
      <c r="O115" s="61"/>
      <c r="P115" s="62"/>
      <c r="Q115" s="61"/>
      <c r="R115" s="61"/>
      <c r="AB115" s="4" t="s">
        <v>40</v>
      </c>
    </row>
    <row r="116" spans="1:28" s="70" customFormat="1" x14ac:dyDescent="0.25">
      <c r="A116" s="77"/>
      <c r="B116" s="77"/>
      <c r="C116" s="55" t="s">
        <v>99</v>
      </c>
      <c r="D116" s="77" t="s">
        <v>24</v>
      </c>
      <c r="E116" s="82">
        <v>7.0999999999999994E-2</v>
      </c>
      <c r="F116" s="82">
        <f>E116*F113</f>
        <v>5.9980800000000007</v>
      </c>
      <c r="G116" s="80">
        <v>0.5</v>
      </c>
      <c r="H116" s="80">
        <f>G116*F116</f>
        <v>2.9990400000000004</v>
      </c>
      <c r="I116" s="80"/>
      <c r="J116" s="80"/>
      <c r="K116" s="80"/>
      <c r="L116" s="80"/>
      <c r="M116" s="80">
        <f t="shared" si="20"/>
        <v>2.9990400000000004</v>
      </c>
      <c r="N116" s="60"/>
      <c r="O116" s="61"/>
      <c r="P116" s="62"/>
      <c r="Q116" s="61"/>
      <c r="R116" s="61"/>
      <c r="AB116" s="4" t="s">
        <v>40</v>
      </c>
    </row>
    <row r="117" spans="1:28" s="70" customFormat="1" x14ac:dyDescent="0.25">
      <c r="A117" s="77"/>
      <c r="B117" s="77"/>
      <c r="C117" s="55" t="s">
        <v>100</v>
      </c>
      <c r="D117" s="77" t="s">
        <v>24</v>
      </c>
      <c r="E117" s="82">
        <v>1.1499999999999999</v>
      </c>
      <c r="F117" s="82">
        <f>E117*F113</f>
        <v>97.152000000000015</v>
      </c>
      <c r="G117" s="80">
        <v>12</v>
      </c>
      <c r="H117" s="80">
        <f>G117*F117</f>
        <v>1165.8240000000001</v>
      </c>
      <c r="I117" s="80"/>
      <c r="J117" s="80"/>
      <c r="K117" s="80"/>
      <c r="L117" s="80"/>
      <c r="M117" s="80">
        <f t="shared" si="20"/>
        <v>1165.8240000000001</v>
      </c>
      <c r="N117" s="60"/>
      <c r="O117" s="61"/>
      <c r="P117" s="62"/>
      <c r="Q117" s="61"/>
      <c r="R117" s="61"/>
      <c r="AB117" s="4" t="s">
        <v>40</v>
      </c>
    </row>
    <row r="118" spans="1:28" s="70" customFormat="1" x14ac:dyDescent="0.25">
      <c r="A118" s="92"/>
      <c r="B118" s="57"/>
      <c r="C118" s="57" t="s">
        <v>101</v>
      </c>
      <c r="D118" s="77" t="s">
        <v>61</v>
      </c>
      <c r="E118" s="82">
        <v>2.8999999999999998E-2</v>
      </c>
      <c r="F118" s="82">
        <f>E118*F113</f>
        <v>2.4499200000000005</v>
      </c>
      <c r="G118" s="93">
        <v>4</v>
      </c>
      <c r="H118" s="80">
        <f>G118*F118</f>
        <v>9.7996800000000022</v>
      </c>
      <c r="I118" s="93"/>
      <c r="J118" s="93"/>
      <c r="K118" s="93"/>
      <c r="L118" s="93"/>
      <c r="M118" s="80">
        <f t="shared" si="20"/>
        <v>9.7996800000000022</v>
      </c>
      <c r="N118" s="60"/>
      <c r="O118" s="61"/>
      <c r="P118" s="62"/>
      <c r="Q118" s="63"/>
      <c r="R118" s="61"/>
      <c r="S118" s="64"/>
      <c r="AB118" s="4" t="s">
        <v>40</v>
      </c>
    </row>
    <row r="119" spans="1:28" s="70" customFormat="1" x14ac:dyDescent="0.25">
      <c r="A119" s="77"/>
      <c r="B119" s="77"/>
      <c r="C119" s="55" t="s">
        <v>43</v>
      </c>
      <c r="D119" s="77" t="s">
        <v>1</v>
      </c>
      <c r="E119" s="82">
        <v>5.0000000000000001E-3</v>
      </c>
      <c r="F119" s="82">
        <f>E119*F113</f>
        <v>0.42240000000000011</v>
      </c>
      <c r="G119" s="80">
        <v>3.2</v>
      </c>
      <c r="H119" s="80">
        <f>G119*F119</f>
        <v>1.3516800000000004</v>
      </c>
      <c r="I119" s="80"/>
      <c r="J119" s="80"/>
      <c r="K119" s="80"/>
      <c r="L119" s="80"/>
      <c r="M119" s="80">
        <f t="shared" si="20"/>
        <v>1.3516800000000004</v>
      </c>
      <c r="N119" s="60"/>
      <c r="O119" s="61"/>
      <c r="P119" s="62"/>
      <c r="Q119" s="61"/>
      <c r="R119" s="61"/>
      <c r="AB119" s="4" t="s">
        <v>40</v>
      </c>
    </row>
    <row r="120" spans="1:28" x14ac:dyDescent="0.25">
      <c r="A120" s="49" t="s">
        <v>39</v>
      </c>
      <c r="B120" s="151"/>
      <c r="C120" s="134" t="s">
        <v>208</v>
      </c>
      <c r="D120" s="142"/>
      <c r="E120" s="113"/>
      <c r="F120" s="149"/>
      <c r="G120" s="114"/>
      <c r="H120" s="115"/>
      <c r="I120" s="116"/>
      <c r="J120" s="114"/>
      <c r="K120" s="116"/>
      <c r="L120" s="115"/>
      <c r="M120" s="116"/>
      <c r="AB120" s="4" t="s">
        <v>40</v>
      </c>
    </row>
    <row r="121" spans="1:28" s="88" customFormat="1" ht="27" x14ac:dyDescent="0.25">
      <c r="A121" s="49" t="s">
        <v>39</v>
      </c>
      <c r="B121" s="32" t="s">
        <v>108</v>
      </c>
      <c r="C121" s="32" t="s">
        <v>209</v>
      </c>
      <c r="D121" s="83" t="s">
        <v>24</v>
      </c>
      <c r="E121" s="33"/>
      <c r="F121" s="33">
        <f>(4.6+6+4.6+6)*3.1*1.1</f>
        <v>72.292000000000002</v>
      </c>
      <c r="G121" s="79"/>
      <c r="H121" s="80"/>
      <c r="I121" s="57"/>
      <c r="J121" s="57"/>
      <c r="K121" s="80"/>
      <c r="L121" s="80"/>
      <c r="M121" s="57"/>
      <c r="N121" s="60"/>
      <c r="O121" s="61"/>
      <c r="P121" s="62"/>
      <c r="Q121" s="97"/>
      <c r="R121" s="94"/>
      <c r="S121" s="98"/>
      <c r="AB121" s="4" t="s">
        <v>40</v>
      </c>
    </row>
    <row r="122" spans="1:28" s="88" customFormat="1" x14ac:dyDescent="0.25">
      <c r="A122" s="29"/>
      <c r="B122" s="26"/>
      <c r="C122" s="30" t="s">
        <v>17</v>
      </c>
      <c r="D122" s="77" t="s">
        <v>24</v>
      </c>
      <c r="E122" s="31">
        <v>1</v>
      </c>
      <c r="F122" s="31">
        <f>F121*E122</f>
        <v>72.292000000000002</v>
      </c>
      <c r="G122" s="30"/>
      <c r="H122" s="30"/>
      <c r="I122" s="30">
        <v>1</v>
      </c>
      <c r="J122" s="30">
        <f>F122*I122</f>
        <v>72.292000000000002</v>
      </c>
      <c r="K122" s="30"/>
      <c r="L122" s="30"/>
      <c r="M122" s="30">
        <f>H122+J122+L122</f>
        <v>72.292000000000002</v>
      </c>
      <c r="N122" s="60"/>
      <c r="O122" s="61"/>
      <c r="P122" s="62"/>
      <c r="Q122" s="97"/>
      <c r="R122" s="94"/>
      <c r="S122" s="98"/>
      <c r="AB122" s="4" t="s">
        <v>40</v>
      </c>
    </row>
    <row r="123" spans="1:28" s="70" customFormat="1" ht="27" x14ac:dyDescent="0.25">
      <c r="A123" s="49" t="s">
        <v>39</v>
      </c>
      <c r="B123" s="99" t="s">
        <v>109</v>
      </c>
      <c r="C123" s="99" t="s">
        <v>110</v>
      </c>
      <c r="D123" s="83" t="s">
        <v>24</v>
      </c>
      <c r="E123" s="100"/>
      <c r="F123" s="100">
        <f>15*1.1</f>
        <v>16.5</v>
      </c>
      <c r="G123" s="79"/>
      <c r="H123" s="80"/>
      <c r="I123" s="57"/>
      <c r="J123" s="57"/>
      <c r="K123" s="80"/>
      <c r="L123" s="80"/>
      <c r="M123" s="57"/>
      <c r="N123" s="60"/>
      <c r="O123" s="61"/>
      <c r="P123" s="62"/>
      <c r="Q123" s="62"/>
      <c r="R123" s="61"/>
      <c r="S123" s="101"/>
      <c r="AB123" s="4" t="s">
        <v>40</v>
      </c>
    </row>
    <row r="124" spans="1:28" s="70" customFormat="1" x14ac:dyDescent="0.25">
      <c r="A124" s="29"/>
      <c r="B124" s="26"/>
      <c r="C124" s="30" t="s">
        <v>17</v>
      </c>
      <c r="D124" s="77" t="s">
        <v>24</v>
      </c>
      <c r="E124" s="31">
        <v>1</v>
      </c>
      <c r="F124" s="31">
        <f>F123*E124</f>
        <v>16.5</v>
      </c>
      <c r="G124" s="30"/>
      <c r="H124" s="30"/>
      <c r="I124" s="30">
        <v>1.25</v>
      </c>
      <c r="J124" s="30">
        <f>F124*I124</f>
        <v>20.625</v>
      </c>
      <c r="K124" s="30"/>
      <c r="L124" s="30"/>
      <c r="M124" s="30">
        <f>H124+J124+L124</f>
        <v>20.625</v>
      </c>
      <c r="N124" s="60"/>
      <c r="O124" s="61"/>
      <c r="P124" s="62"/>
      <c r="Q124" s="61"/>
      <c r="R124" s="61"/>
      <c r="S124" s="101"/>
      <c r="AB124" s="4" t="s">
        <v>40</v>
      </c>
    </row>
    <row r="125" spans="1:28" s="70" customFormat="1" x14ac:dyDescent="0.25">
      <c r="A125" s="29"/>
      <c r="B125" s="30"/>
      <c r="C125" s="30" t="s">
        <v>18</v>
      </c>
      <c r="D125" s="77" t="s">
        <v>1</v>
      </c>
      <c r="E125" s="31">
        <v>1.6000000000000001E-3</v>
      </c>
      <c r="F125" s="31">
        <f>F123*E125</f>
        <v>2.64E-2</v>
      </c>
      <c r="G125" s="30"/>
      <c r="H125" s="30"/>
      <c r="I125" s="30"/>
      <c r="J125" s="30"/>
      <c r="K125" s="30">
        <v>3.2</v>
      </c>
      <c r="L125" s="30">
        <f>F125*K125</f>
        <v>8.448E-2</v>
      </c>
      <c r="M125" s="30">
        <f>H125+J125+L125</f>
        <v>8.448E-2</v>
      </c>
      <c r="N125" s="60"/>
      <c r="O125" s="61"/>
      <c r="P125" s="62"/>
      <c r="Q125" s="61"/>
      <c r="R125" s="61"/>
      <c r="S125" s="101"/>
      <c r="AB125" s="4" t="s">
        <v>40</v>
      </c>
    </row>
    <row r="126" spans="1:28" s="81" customFormat="1" ht="27" x14ac:dyDescent="0.25">
      <c r="A126" s="49" t="s">
        <v>39</v>
      </c>
      <c r="B126" s="48" t="s">
        <v>111</v>
      </c>
      <c r="C126" s="48" t="s">
        <v>210</v>
      </c>
      <c r="D126" s="48" t="s">
        <v>24</v>
      </c>
      <c r="E126" s="67"/>
      <c r="F126" s="67">
        <f>15*1.1</f>
        <v>16.5</v>
      </c>
      <c r="G126" s="48"/>
      <c r="H126" s="57"/>
      <c r="I126" s="48"/>
      <c r="J126" s="57"/>
      <c r="K126" s="48"/>
      <c r="L126" s="57"/>
      <c r="M126" s="57"/>
      <c r="N126" s="60"/>
      <c r="O126" s="61"/>
      <c r="P126" s="62"/>
      <c r="Q126" s="62"/>
      <c r="R126" s="61"/>
      <c r="S126" s="84"/>
      <c r="AB126" s="4" t="s">
        <v>40</v>
      </c>
    </row>
    <row r="127" spans="1:28" s="81" customFormat="1" x14ac:dyDescent="0.25">
      <c r="A127" s="91"/>
      <c r="B127" s="48"/>
      <c r="C127" s="55" t="s">
        <v>30</v>
      </c>
      <c r="D127" s="77" t="s">
        <v>24</v>
      </c>
      <c r="E127" s="58">
        <v>1.01</v>
      </c>
      <c r="F127" s="58">
        <f>F126*E127</f>
        <v>16.664999999999999</v>
      </c>
      <c r="G127" s="57"/>
      <c r="H127" s="57"/>
      <c r="I127" s="57">
        <v>6</v>
      </c>
      <c r="J127" s="57">
        <f>F127*I127</f>
        <v>99.99</v>
      </c>
      <c r="K127" s="57"/>
      <c r="L127" s="57"/>
      <c r="M127" s="57">
        <f>H127+J127+L127</f>
        <v>99.99</v>
      </c>
      <c r="N127" s="60"/>
      <c r="O127" s="61"/>
      <c r="P127" s="62"/>
      <c r="Q127" s="102"/>
      <c r="R127" s="61"/>
      <c r="S127" s="103"/>
      <c r="AB127" s="4" t="s">
        <v>40</v>
      </c>
    </row>
    <row r="128" spans="1:28" s="81" customFormat="1" x14ac:dyDescent="0.25">
      <c r="A128" s="91"/>
      <c r="B128" s="48"/>
      <c r="C128" s="57" t="s">
        <v>112</v>
      </c>
      <c r="D128" s="57" t="s">
        <v>58</v>
      </c>
      <c r="E128" s="58">
        <v>4.0999999999999995E-2</v>
      </c>
      <c r="F128" s="58">
        <f>F126*E128</f>
        <v>0.67649999999999988</v>
      </c>
      <c r="G128" s="57"/>
      <c r="H128" s="57"/>
      <c r="I128" s="57"/>
      <c r="J128" s="57"/>
      <c r="K128" s="57">
        <v>7.72</v>
      </c>
      <c r="L128" s="57">
        <f>F128*K128</f>
        <v>5.2225799999999989</v>
      </c>
      <c r="M128" s="57">
        <f>H128+J128+L128</f>
        <v>5.2225799999999989</v>
      </c>
      <c r="N128" s="60"/>
      <c r="O128" s="61"/>
      <c r="P128" s="62"/>
      <c r="Q128" s="74"/>
      <c r="R128" s="61"/>
      <c r="S128" s="84"/>
      <c r="AB128" s="4" t="s">
        <v>40</v>
      </c>
    </row>
    <row r="129" spans="1:28" s="81" customFormat="1" x14ac:dyDescent="0.25">
      <c r="A129" s="91"/>
      <c r="B129" s="48"/>
      <c r="C129" s="57" t="s">
        <v>34</v>
      </c>
      <c r="D129" s="57" t="s">
        <v>1</v>
      </c>
      <c r="E129" s="58">
        <v>2.7000000000000003E-2</v>
      </c>
      <c r="F129" s="58">
        <f>F126*E129</f>
        <v>0.44550000000000006</v>
      </c>
      <c r="G129" s="57"/>
      <c r="H129" s="57"/>
      <c r="I129" s="57"/>
      <c r="J129" s="57"/>
      <c r="K129" s="57">
        <v>3.2</v>
      </c>
      <c r="L129" s="57">
        <f>F129*K129</f>
        <v>1.4256000000000002</v>
      </c>
      <c r="M129" s="57">
        <f>H129+J129+L129</f>
        <v>1.4256000000000002</v>
      </c>
      <c r="N129" s="60"/>
      <c r="O129" s="61"/>
      <c r="P129" s="62"/>
      <c r="Q129" s="74"/>
      <c r="R129" s="61"/>
      <c r="S129" s="84"/>
      <c r="AB129" s="4" t="s">
        <v>40</v>
      </c>
    </row>
    <row r="130" spans="1:28" s="81" customFormat="1" x14ac:dyDescent="0.25">
      <c r="A130" s="91"/>
      <c r="B130" s="48"/>
      <c r="C130" s="57" t="s">
        <v>113</v>
      </c>
      <c r="D130" s="57" t="s">
        <v>114</v>
      </c>
      <c r="E130" s="58">
        <v>3.5000000000000003E-2</v>
      </c>
      <c r="F130" s="58">
        <f>F126*E130</f>
        <v>0.57750000000000001</v>
      </c>
      <c r="G130" s="57">
        <v>85</v>
      </c>
      <c r="H130" s="57">
        <f>F130*G130</f>
        <v>49.087499999999999</v>
      </c>
      <c r="I130" s="57"/>
      <c r="J130" s="57"/>
      <c r="K130" s="57"/>
      <c r="L130" s="57"/>
      <c r="M130" s="57">
        <f>H130+J130+L130</f>
        <v>49.087499999999999</v>
      </c>
      <c r="N130" s="60"/>
      <c r="O130" s="61"/>
      <c r="P130" s="62"/>
      <c r="Q130" s="74"/>
      <c r="R130" s="61"/>
      <c r="S130" s="84"/>
      <c r="AB130" s="4" t="s">
        <v>40</v>
      </c>
    </row>
    <row r="131" spans="1:28" s="81" customFormat="1" x14ac:dyDescent="0.25">
      <c r="A131" s="91"/>
      <c r="B131" s="48"/>
      <c r="C131" s="57" t="s">
        <v>43</v>
      </c>
      <c r="D131" s="57" t="s">
        <v>1</v>
      </c>
      <c r="E131" s="58">
        <v>3.0000000000000001E-3</v>
      </c>
      <c r="F131" s="58">
        <f>F126*E131</f>
        <v>4.9500000000000002E-2</v>
      </c>
      <c r="G131" s="57">
        <v>3.2</v>
      </c>
      <c r="H131" s="57">
        <f>F131*G131</f>
        <v>0.15840000000000001</v>
      </c>
      <c r="I131" s="57"/>
      <c r="J131" s="57"/>
      <c r="K131" s="57"/>
      <c r="L131" s="57"/>
      <c r="M131" s="57">
        <f>H131+J131+L131</f>
        <v>0.15840000000000001</v>
      </c>
      <c r="N131" s="60"/>
      <c r="O131" s="61"/>
      <c r="P131" s="62"/>
      <c r="Q131" s="74"/>
      <c r="R131" s="61"/>
      <c r="S131" s="84"/>
      <c r="AB131" s="4" t="s">
        <v>40</v>
      </c>
    </row>
    <row r="132" spans="1:28" s="70" customFormat="1" ht="27" x14ac:dyDescent="0.25">
      <c r="A132" s="49" t="s">
        <v>39</v>
      </c>
      <c r="B132" s="68" t="s">
        <v>66</v>
      </c>
      <c r="C132" s="50" t="s">
        <v>225</v>
      </c>
      <c r="D132" s="68" t="s">
        <v>67</v>
      </c>
      <c r="E132" s="67"/>
      <c r="F132" s="48">
        <f>1*0.4*0.15*1.1</f>
        <v>6.6000000000000003E-2</v>
      </c>
      <c r="G132" s="48"/>
      <c r="H132" s="48"/>
      <c r="I132" s="48"/>
      <c r="J132" s="48"/>
      <c r="K132" s="48"/>
      <c r="L132" s="48"/>
      <c r="M132" s="48"/>
      <c r="N132" s="60"/>
      <c r="O132" s="61"/>
      <c r="P132" s="62"/>
      <c r="Q132" s="62"/>
      <c r="R132" s="61"/>
      <c r="S132" s="69"/>
      <c r="AB132" s="4" t="s">
        <v>40</v>
      </c>
    </row>
    <row r="133" spans="1:28" s="70" customFormat="1" x14ac:dyDescent="0.25">
      <c r="A133" s="55"/>
      <c r="B133" s="56"/>
      <c r="C133" s="55" t="s">
        <v>30</v>
      </c>
      <c r="D133" s="77" t="s">
        <v>67</v>
      </c>
      <c r="E133" s="59">
        <v>1</v>
      </c>
      <c r="F133" s="59">
        <f>F132*E133</f>
        <v>6.6000000000000003E-2</v>
      </c>
      <c r="G133" s="57"/>
      <c r="H133" s="57"/>
      <c r="I133" s="57">
        <v>75</v>
      </c>
      <c r="J133" s="57">
        <f>F133*I133</f>
        <v>4.95</v>
      </c>
      <c r="K133" s="57"/>
      <c r="L133" s="57"/>
      <c r="M133" s="57">
        <f t="shared" ref="M133:M140" si="21">H133+J133+L133</f>
        <v>4.95</v>
      </c>
      <c r="N133" s="60"/>
      <c r="O133" s="61"/>
      <c r="P133" s="62"/>
      <c r="Q133" s="63"/>
      <c r="R133" s="61"/>
      <c r="S133" s="71"/>
      <c r="AB133" s="4" t="s">
        <v>40</v>
      </c>
    </row>
    <row r="134" spans="1:28" s="70" customFormat="1" x14ac:dyDescent="0.25">
      <c r="A134" s="72"/>
      <c r="B134" s="73"/>
      <c r="C134" s="55" t="s">
        <v>68</v>
      </c>
      <c r="D134" s="55" t="s">
        <v>1</v>
      </c>
      <c r="E134" s="58">
        <f>112/100</f>
        <v>1.1200000000000001</v>
      </c>
      <c r="F134" s="58">
        <f>F132*E134</f>
        <v>7.3920000000000013E-2</v>
      </c>
      <c r="G134" s="57"/>
      <c r="H134" s="57"/>
      <c r="I134" s="57"/>
      <c r="J134" s="57"/>
      <c r="K134" s="57">
        <v>3.2</v>
      </c>
      <c r="L134" s="57">
        <f>F134*K134</f>
        <v>0.23654400000000006</v>
      </c>
      <c r="M134" s="57">
        <f t="shared" si="21"/>
        <v>0.23654400000000006</v>
      </c>
      <c r="N134" s="60"/>
      <c r="O134" s="61"/>
      <c r="P134" s="62"/>
      <c r="Q134" s="63"/>
      <c r="R134" s="61"/>
      <c r="S134" s="71"/>
      <c r="AB134" s="4" t="s">
        <v>40</v>
      </c>
    </row>
    <row r="135" spans="1:28" s="70" customFormat="1" x14ac:dyDescent="0.25">
      <c r="A135" s="72"/>
      <c r="B135" s="73"/>
      <c r="C135" s="55" t="s">
        <v>69</v>
      </c>
      <c r="D135" s="55" t="s">
        <v>70</v>
      </c>
      <c r="E135" s="58">
        <f>11.5/100</f>
        <v>0.115</v>
      </c>
      <c r="F135" s="58">
        <f>F132*E135</f>
        <v>7.5900000000000004E-3</v>
      </c>
      <c r="G135" s="57">
        <v>1150</v>
      </c>
      <c r="H135" s="57">
        <f t="shared" ref="H135:H140" si="22">F135*G135</f>
        <v>8.7285000000000004</v>
      </c>
      <c r="I135" s="57"/>
      <c r="J135" s="57"/>
      <c r="K135" s="57"/>
      <c r="L135" s="57"/>
      <c r="M135" s="57">
        <f t="shared" si="21"/>
        <v>8.7285000000000004</v>
      </c>
      <c r="N135" s="60"/>
      <c r="O135" s="61"/>
      <c r="P135" s="62"/>
      <c r="Q135" s="63"/>
      <c r="R135" s="61"/>
      <c r="S135" s="71"/>
      <c r="AB135" s="4" t="s">
        <v>40</v>
      </c>
    </row>
    <row r="136" spans="1:28" s="70" customFormat="1" x14ac:dyDescent="0.25">
      <c r="A136" s="72"/>
      <c r="B136" s="68"/>
      <c r="C136" s="55" t="s">
        <v>71</v>
      </c>
      <c r="D136" s="55" t="s">
        <v>67</v>
      </c>
      <c r="E136" s="58">
        <f>101.5/100</f>
        <v>1.0149999999999999</v>
      </c>
      <c r="F136" s="58">
        <f>F132*E136</f>
        <v>6.6989999999999994E-2</v>
      </c>
      <c r="G136" s="57">
        <v>95</v>
      </c>
      <c r="H136" s="57">
        <f t="shared" si="22"/>
        <v>6.3640499999999998</v>
      </c>
      <c r="I136" s="57"/>
      <c r="J136" s="57"/>
      <c r="K136" s="57"/>
      <c r="L136" s="57"/>
      <c r="M136" s="57">
        <f t="shared" si="21"/>
        <v>6.3640499999999998</v>
      </c>
      <c r="N136" s="60"/>
      <c r="O136" s="61"/>
      <c r="P136" s="62"/>
      <c r="Q136" s="63"/>
      <c r="R136" s="61"/>
      <c r="S136" s="71"/>
      <c r="AB136" s="4" t="s">
        <v>40</v>
      </c>
    </row>
    <row r="137" spans="1:28" s="70" customFormat="1" x14ac:dyDescent="0.25">
      <c r="A137" s="72"/>
      <c r="B137" s="68"/>
      <c r="C137" s="55" t="s">
        <v>72</v>
      </c>
      <c r="D137" s="55" t="s">
        <v>24</v>
      </c>
      <c r="E137" s="58">
        <f>290/100</f>
        <v>2.9</v>
      </c>
      <c r="F137" s="58">
        <f>E137*F132</f>
        <v>0.19140000000000001</v>
      </c>
      <c r="G137" s="57">
        <v>16</v>
      </c>
      <c r="H137" s="57">
        <f t="shared" si="22"/>
        <v>3.0624000000000002</v>
      </c>
      <c r="I137" s="57"/>
      <c r="J137" s="57"/>
      <c r="K137" s="57"/>
      <c r="L137" s="57"/>
      <c r="M137" s="57">
        <f t="shared" si="21"/>
        <v>3.0624000000000002</v>
      </c>
      <c r="N137" s="60"/>
      <c r="O137" s="61"/>
      <c r="P137" s="62"/>
      <c r="Q137" s="63"/>
      <c r="R137" s="61"/>
      <c r="S137" s="71"/>
      <c r="AB137" s="4" t="s">
        <v>40</v>
      </c>
    </row>
    <row r="138" spans="1:28" s="70" customFormat="1" x14ac:dyDescent="0.25">
      <c r="A138" s="72"/>
      <c r="B138" s="68"/>
      <c r="C138" s="55" t="s">
        <v>75</v>
      </c>
      <c r="D138" s="55" t="s">
        <v>67</v>
      </c>
      <c r="E138" s="58">
        <f>3.78/100</f>
        <v>3.78E-2</v>
      </c>
      <c r="F138" s="58">
        <f>E138*F130</f>
        <v>2.1829500000000002E-2</v>
      </c>
      <c r="G138" s="57">
        <v>370</v>
      </c>
      <c r="H138" s="57">
        <f t="shared" si="22"/>
        <v>8.0769150000000014</v>
      </c>
      <c r="I138" s="57"/>
      <c r="J138" s="57"/>
      <c r="K138" s="57"/>
      <c r="L138" s="57"/>
      <c r="M138" s="57">
        <f t="shared" si="21"/>
        <v>8.0769150000000014</v>
      </c>
      <c r="N138" s="60"/>
      <c r="O138" s="61"/>
      <c r="P138" s="62"/>
      <c r="Q138" s="63"/>
      <c r="R138" s="61"/>
      <c r="S138" s="71"/>
      <c r="AB138" s="4" t="s">
        <v>40</v>
      </c>
    </row>
    <row r="139" spans="1:28" s="70" customFormat="1" x14ac:dyDescent="0.25">
      <c r="A139" s="72"/>
      <c r="B139" s="68"/>
      <c r="C139" s="55" t="s">
        <v>73</v>
      </c>
      <c r="D139" s="55" t="s">
        <v>70</v>
      </c>
      <c r="E139" s="58">
        <f>0.23/100</f>
        <v>2.3E-3</v>
      </c>
      <c r="F139" s="58">
        <f>E139*F132</f>
        <v>1.518E-4</v>
      </c>
      <c r="G139" s="57">
        <v>3.1</v>
      </c>
      <c r="H139" s="57">
        <f t="shared" si="22"/>
        <v>4.7058000000000001E-4</v>
      </c>
      <c r="I139" s="57"/>
      <c r="J139" s="57"/>
      <c r="K139" s="57"/>
      <c r="L139" s="57"/>
      <c r="M139" s="58">
        <f t="shared" si="21"/>
        <v>4.7058000000000001E-4</v>
      </c>
      <c r="N139" s="60"/>
      <c r="O139" s="61"/>
      <c r="P139" s="62"/>
      <c r="Q139" s="63"/>
      <c r="R139" s="61"/>
      <c r="S139" s="71"/>
      <c r="AB139" s="4" t="s">
        <v>40</v>
      </c>
    </row>
    <row r="140" spans="1:28" s="70" customFormat="1" x14ac:dyDescent="0.25">
      <c r="A140" s="72"/>
      <c r="B140" s="73"/>
      <c r="C140" s="55" t="s">
        <v>74</v>
      </c>
      <c r="D140" s="55" t="s">
        <v>1</v>
      </c>
      <c r="E140" s="58">
        <f>95/100</f>
        <v>0.95</v>
      </c>
      <c r="F140" s="58">
        <f>F132*E140</f>
        <v>6.2700000000000006E-2</v>
      </c>
      <c r="G140" s="57">
        <v>3.2</v>
      </c>
      <c r="H140" s="57">
        <f t="shared" si="22"/>
        <v>0.20064000000000004</v>
      </c>
      <c r="I140" s="57"/>
      <c r="J140" s="57"/>
      <c r="K140" s="57"/>
      <c r="L140" s="57"/>
      <c r="M140" s="57">
        <f t="shared" si="21"/>
        <v>0.20064000000000004</v>
      </c>
      <c r="N140" s="60"/>
      <c r="O140" s="61"/>
      <c r="P140" s="62"/>
      <c r="Q140" s="63"/>
      <c r="R140" s="61"/>
      <c r="S140" s="71"/>
      <c r="AB140" s="4" t="s">
        <v>40</v>
      </c>
    </row>
    <row r="141" spans="1:28" s="70" customFormat="1" x14ac:dyDescent="0.25">
      <c r="A141" s="49" t="s">
        <v>39</v>
      </c>
      <c r="B141" s="68" t="s">
        <v>76</v>
      </c>
      <c r="C141" s="50" t="s">
        <v>211</v>
      </c>
      <c r="D141" s="48" t="s">
        <v>67</v>
      </c>
      <c r="E141" s="67"/>
      <c r="F141" s="48">
        <f>0.9*0.4*2.2*1.1</f>
        <v>0.8712000000000002</v>
      </c>
      <c r="G141" s="48"/>
      <c r="H141" s="48"/>
      <c r="I141" s="48"/>
      <c r="J141" s="48"/>
      <c r="K141" s="57"/>
      <c r="L141" s="57"/>
      <c r="M141" s="48"/>
      <c r="N141" s="60"/>
      <c r="O141" s="61"/>
      <c r="P141" s="62"/>
      <c r="Q141" s="74"/>
      <c r="R141" s="61"/>
      <c r="S141" s="75"/>
      <c r="AB141" s="4" t="s">
        <v>40</v>
      </c>
    </row>
    <row r="142" spans="1:28" s="70" customFormat="1" x14ac:dyDescent="0.25">
      <c r="A142" s="76"/>
      <c r="B142" s="68"/>
      <c r="C142" s="131" t="s">
        <v>77</v>
      </c>
      <c r="D142" s="77" t="s">
        <v>67</v>
      </c>
      <c r="E142" s="59">
        <v>1</v>
      </c>
      <c r="F142" s="59">
        <f>F141*E142</f>
        <v>0.8712000000000002</v>
      </c>
      <c r="G142" s="57"/>
      <c r="H142" s="57"/>
      <c r="I142" s="57">
        <v>75</v>
      </c>
      <c r="J142" s="57">
        <f>F142*I142</f>
        <v>65.340000000000018</v>
      </c>
      <c r="K142" s="57"/>
      <c r="L142" s="57"/>
      <c r="M142" s="57">
        <f t="shared" ref="M142" si="23">H142+J142+L142</f>
        <v>65.340000000000018</v>
      </c>
      <c r="N142" s="60"/>
      <c r="O142" s="61"/>
      <c r="P142" s="62"/>
      <c r="Q142" s="61"/>
      <c r="R142" s="61"/>
      <c r="AB142" s="4" t="s">
        <v>40</v>
      </c>
    </row>
    <row r="143" spans="1:28" s="70" customFormat="1" x14ac:dyDescent="0.25">
      <c r="A143" s="55"/>
      <c r="B143" s="68"/>
      <c r="C143" s="55" t="s">
        <v>18</v>
      </c>
      <c r="D143" s="57" t="s">
        <v>1</v>
      </c>
      <c r="E143" s="58">
        <v>3.35</v>
      </c>
      <c r="F143" s="57">
        <f>F141*E143</f>
        <v>2.9185200000000009</v>
      </c>
      <c r="G143" s="57"/>
      <c r="H143" s="57"/>
      <c r="I143" s="57"/>
      <c r="J143" s="57"/>
      <c r="K143" s="57">
        <v>3.2</v>
      </c>
      <c r="L143" s="57">
        <f>K143*F143</f>
        <v>9.3392640000000036</v>
      </c>
      <c r="M143" s="57">
        <f>H143+J143+L143</f>
        <v>9.3392640000000036</v>
      </c>
      <c r="N143" s="60"/>
      <c r="O143" s="61"/>
      <c r="P143" s="62"/>
      <c r="Q143" s="61"/>
      <c r="R143" s="61"/>
      <c r="AB143" s="4" t="s">
        <v>40</v>
      </c>
    </row>
    <row r="144" spans="1:28" s="104" customFormat="1" ht="27" x14ac:dyDescent="0.25">
      <c r="A144" s="49" t="s">
        <v>39</v>
      </c>
      <c r="B144" s="24" t="s">
        <v>115</v>
      </c>
      <c r="C144" s="32" t="s">
        <v>121</v>
      </c>
      <c r="D144" s="83" t="s">
        <v>24</v>
      </c>
      <c r="E144" s="25"/>
      <c r="F144" s="25">
        <f>0.9*2.2*1.1</f>
        <v>2.1780000000000004</v>
      </c>
      <c r="G144" s="79"/>
      <c r="H144" s="80"/>
      <c r="I144" s="57"/>
      <c r="J144" s="57"/>
      <c r="K144" s="80"/>
      <c r="L144" s="80"/>
      <c r="M144" s="57"/>
      <c r="N144" s="60"/>
      <c r="O144" s="61"/>
      <c r="P144" s="62"/>
      <c r="Q144" s="62"/>
      <c r="R144" s="61"/>
      <c r="S144" s="70"/>
      <c r="AB144" s="4" t="s">
        <v>40</v>
      </c>
    </row>
    <row r="145" spans="1:28" s="105" customFormat="1" x14ac:dyDescent="0.25">
      <c r="A145" s="87"/>
      <c r="B145" s="55"/>
      <c r="C145" s="30" t="s">
        <v>30</v>
      </c>
      <c r="D145" s="77" t="s">
        <v>24</v>
      </c>
      <c r="E145" s="58">
        <v>1</v>
      </c>
      <c r="F145" s="58">
        <f>F144*E145</f>
        <v>2.1780000000000004</v>
      </c>
      <c r="G145" s="57"/>
      <c r="H145" s="57"/>
      <c r="I145" s="57">
        <v>15</v>
      </c>
      <c r="J145" s="57">
        <f>F145*I145</f>
        <v>32.670000000000009</v>
      </c>
      <c r="K145" s="57"/>
      <c r="L145" s="57"/>
      <c r="M145" s="57">
        <f t="shared" ref="M145:M151" si="24">H145+J145+L145</f>
        <v>32.670000000000009</v>
      </c>
      <c r="N145" s="60"/>
      <c r="O145" s="61"/>
      <c r="P145" s="62"/>
      <c r="Q145" s="61"/>
      <c r="R145" s="61"/>
      <c r="S145" s="70"/>
      <c r="AB145" s="4" t="s">
        <v>40</v>
      </c>
    </row>
    <row r="146" spans="1:28" s="105" customFormat="1" x14ac:dyDescent="0.25">
      <c r="A146" s="87"/>
      <c r="B146" s="57"/>
      <c r="C146" s="30" t="s">
        <v>18</v>
      </c>
      <c r="D146" s="77" t="s">
        <v>1</v>
      </c>
      <c r="E146" s="58">
        <v>0.13</v>
      </c>
      <c r="F146" s="58">
        <f>F144*E146</f>
        <v>0.28314000000000006</v>
      </c>
      <c r="G146" s="57"/>
      <c r="H146" s="57"/>
      <c r="I146" s="57"/>
      <c r="J146" s="57"/>
      <c r="K146" s="57">
        <v>3.2</v>
      </c>
      <c r="L146" s="57">
        <f>F146*K146</f>
        <v>0.90604800000000019</v>
      </c>
      <c r="M146" s="57">
        <f t="shared" si="24"/>
        <v>0.90604800000000019</v>
      </c>
      <c r="N146" s="60"/>
      <c r="O146" s="61"/>
      <c r="P146" s="62"/>
      <c r="Q146" s="61"/>
      <c r="R146" s="61"/>
      <c r="S146" s="70"/>
      <c r="AB146" s="4" t="s">
        <v>40</v>
      </c>
    </row>
    <row r="147" spans="1:28" s="104" customFormat="1" x14ac:dyDescent="0.25">
      <c r="A147" s="87"/>
      <c r="B147" s="57"/>
      <c r="C147" s="30" t="s">
        <v>116</v>
      </c>
      <c r="D147" s="77" t="s">
        <v>24</v>
      </c>
      <c r="E147" s="58">
        <v>1</v>
      </c>
      <c r="F147" s="58">
        <f>F144*E147</f>
        <v>2.1780000000000004</v>
      </c>
      <c r="G147" s="57">
        <v>180</v>
      </c>
      <c r="H147" s="57">
        <f>F147*G147</f>
        <v>392.04000000000008</v>
      </c>
      <c r="I147" s="57"/>
      <c r="J147" s="57"/>
      <c r="K147" s="57"/>
      <c r="L147" s="57"/>
      <c r="M147" s="57">
        <f t="shared" si="24"/>
        <v>392.04000000000008</v>
      </c>
      <c r="N147" s="60"/>
      <c r="O147" s="61"/>
      <c r="P147" s="62"/>
      <c r="Q147" s="61"/>
      <c r="R147" s="61"/>
      <c r="S147" s="70"/>
      <c r="AB147" s="4" t="s">
        <v>40</v>
      </c>
    </row>
    <row r="148" spans="1:28" s="104" customFormat="1" x14ac:dyDescent="0.25">
      <c r="A148" s="87"/>
      <c r="B148" s="57"/>
      <c r="C148" s="30" t="s">
        <v>117</v>
      </c>
      <c r="D148" s="77" t="s">
        <v>28</v>
      </c>
      <c r="E148" s="58">
        <v>5.4</v>
      </c>
      <c r="F148" s="58">
        <f>F144*E148</f>
        <v>11.761200000000002</v>
      </c>
      <c r="G148" s="57">
        <v>3.8</v>
      </c>
      <c r="H148" s="57">
        <f>F148*G148</f>
        <v>44.692560000000007</v>
      </c>
      <c r="I148" s="57"/>
      <c r="J148" s="57"/>
      <c r="K148" s="57"/>
      <c r="L148" s="57"/>
      <c r="M148" s="57">
        <f t="shared" si="24"/>
        <v>44.692560000000007</v>
      </c>
      <c r="N148" s="60"/>
      <c r="O148" s="61"/>
      <c r="P148" s="62"/>
      <c r="Q148" s="61"/>
      <c r="R148" s="61"/>
      <c r="S148" s="70"/>
      <c r="AB148" s="4" t="s">
        <v>40</v>
      </c>
    </row>
    <row r="149" spans="1:28" s="105" customFormat="1" x14ac:dyDescent="0.25">
      <c r="A149" s="87"/>
      <c r="B149" s="57"/>
      <c r="C149" s="30" t="s">
        <v>118</v>
      </c>
      <c r="D149" s="55" t="s">
        <v>67</v>
      </c>
      <c r="E149" s="58">
        <v>8.0000000000000004E-4</v>
      </c>
      <c r="F149" s="58">
        <f>F144*E149</f>
        <v>1.7424000000000003E-3</v>
      </c>
      <c r="G149" s="57">
        <v>365</v>
      </c>
      <c r="H149" s="57">
        <f>F149*G149</f>
        <v>0.6359760000000001</v>
      </c>
      <c r="I149" s="57"/>
      <c r="J149" s="57"/>
      <c r="K149" s="57"/>
      <c r="L149" s="57"/>
      <c r="M149" s="57">
        <f t="shared" si="24"/>
        <v>0.6359760000000001</v>
      </c>
      <c r="N149" s="60"/>
      <c r="O149" s="61"/>
      <c r="P149" s="62"/>
      <c r="Q149" s="61"/>
      <c r="R149" s="61"/>
      <c r="S149" s="70"/>
      <c r="AB149" s="4" t="s">
        <v>40</v>
      </c>
    </row>
    <row r="150" spans="1:28" s="105" customFormat="1" x14ac:dyDescent="0.25">
      <c r="A150" s="87"/>
      <c r="B150" s="57"/>
      <c r="C150" s="55" t="s">
        <v>119</v>
      </c>
      <c r="D150" s="77" t="s">
        <v>120</v>
      </c>
      <c r="E150" s="58">
        <v>9.9999999999999994E-12</v>
      </c>
      <c r="F150" s="58">
        <v>1</v>
      </c>
      <c r="G150" s="57">
        <v>35</v>
      </c>
      <c r="H150" s="57">
        <f>F150*G150</f>
        <v>35</v>
      </c>
      <c r="I150" s="57"/>
      <c r="J150" s="57"/>
      <c r="K150" s="57"/>
      <c r="L150" s="57"/>
      <c r="M150" s="57">
        <f t="shared" si="24"/>
        <v>35</v>
      </c>
      <c r="N150" s="60"/>
      <c r="O150" s="61"/>
      <c r="P150" s="62"/>
      <c r="Q150" s="61"/>
      <c r="R150" s="61"/>
      <c r="S150" s="70"/>
      <c r="AB150" s="4" t="s">
        <v>40</v>
      </c>
    </row>
    <row r="151" spans="1:28" s="104" customFormat="1" x14ac:dyDescent="0.25">
      <c r="A151" s="87"/>
      <c r="B151" s="57"/>
      <c r="C151" s="55" t="s">
        <v>74</v>
      </c>
      <c r="D151" s="77" t="s">
        <v>1</v>
      </c>
      <c r="E151" s="58">
        <v>2.06E-2</v>
      </c>
      <c r="F151" s="58">
        <f>F144*E151</f>
        <v>4.4866800000000005E-2</v>
      </c>
      <c r="G151" s="57">
        <v>3.2</v>
      </c>
      <c r="H151" s="57">
        <f>F151*G151</f>
        <v>0.14357376000000002</v>
      </c>
      <c r="I151" s="57"/>
      <c r="J151" s="57"/>
      <c r="K151" s="57"/>
      <c r="L151" s="57"/>
      <c r="M151" s="57">
        <f t="shared" si="24"/>
        <v>0.14357376000000002</v>
      </c>
      <c r="N151" s="60"/>
      <c r="O151" s="61"/>
      <c r="P151" s="62"/>
      <c r="Q151" s="61"/>
      <c r="R151" s="61"/>
      <c r="S151" s="70"/>
      <c r="AB151" s="4" t="s">
        <v>40</v>
      </c>
    </row>
    <row r="152" spans="1:28" s="81" customFormat="1" ht="27" x14ac:dyDescent="0.25">
      <c r="A152" s="49" t="s">
        <v>39</v>
      </c>
      <c r="B152" s="68" t="s">
        <v>78</v>
      </c>
      <c r="C152" s="68" t="s">
        <v>79</v>
      </c>
      <c r="D152" s="83" t="s">
        <v>24</v>
      </c>
      <c r="E152" s="78"/>
      <c r="F152" s="78">
        <f>(2.2+2.2+1)*0.4*2*1.1</f>
        <v>4.7520000000000007</v>
      </c>
      <c r="G152" s="79"/>
      <c r="H152" s="80"/>
      <c r="I152" s="57"/>
      <c r="J152" s="57"/>
      <c r="K152" s="80"/>
      <c r="L152" s="80"/>
      <c r="M152" s="57"/>
      <c r="N152" s="60"/>
      <c r="O152" s="61"/>
      <c r="P152" s="62"/>
      <c r="Q152" s="62"/>
      <c r="R152" s="61"/>
      <c r="S152" s="70"/>
      <c r="AB152" s="4" t="s">
        <v>40</v>
      </c>
    </row>
    <row r="153" spans="1:28" s="81" customFormat="1" x14ac:dyDescent="0.25">
      <c r="A153" s="77"/>
      <c r="B153" s="55"/>
      <c r="C153" s="55" t="s">
        <v>30</v>
      </c>
      <c r="D153" s="77" t="s">
        <v>24</v>
      </c>
      <c r="E153" s="31">
        <v>1</v>
      </c>
      <c r="F153" s="82">
        <f>E153*F152</f>
        <v>4.7520000000000007</v>
      </c>
      <c r="G153" s="80"/>
      <c r="H153" s="80"/>
      <c r="I153" s="57">
        <v>8.5</v>
      </c>
      <c r="J153" s="57">
        <f>I153*F153</f>
        <v>40.392000000000003</v>
      </c>
      <c r="K153" s="80"/>
      <c r="L153" s="80"/>
      <c r="M153" s="57">
        <f>L153+J153+H153</f>
        <v>40.392000000000003</v>
      </c>
      <c r="N153" s="60"/>
      <c r="O153" s="61"/>
      <c r="P153" s="62"/>
      <c r="Q153" s="61"/>
      <c r="R153" s="61"/>
      <c r="S153" s="70"/>
      <c r="AB153" s="4" t="s">
        <v>40</v>
      </c>
    </row>
    <row r="154" spans="1:28" s="81" customFormat="1" x14ac:dyDescent="0.25">
      <c r="A154" s="77"/>
      <c r="B154" s="55"/>
      <c r="C154" s="55" t="s">
        <v>34</v>
      </c>
      <c r="D154" s="77" t="s">
        <v>1</v>
      </c>
      <c r="E154" s="82">
        <v>7.5999999999999998E-2</v>
      </c>
      <c r="F154" s="82">
        <f>E154*F152</f>
        <v>0.36115200000000003</v>
      </c>
      <c r="G154" s="80"/>
      <c r="H154" s="80"/>
      <c r="I154" s="57"/>
      <c r="J154" s="57"/>
      <c r="K154" s="80">
        <v>3.2</v>
      </c>
      <c r="L154" s="80">
        <f>K154*F154</f>
        <v>1.1556864000000002</v>
      </c>
      <c r="M154" s="57">
        <f>L154+J154+H154</f>
        <v>1.1556864000000002</v>
      </c>
      <c r="N154" s="60"/>
      <c r="O154" s="61"/>
      <c r="P154" s="62"/>
      <c r="Q154" s="61"/>
      <c r="R154" s="61"/>
      <c r="S154" s="70"/>
      <c r="AB154" s="4" t="s">
        <v>40</v>
      </c>
    </row>
    <row r="155" spans="1:28" s="81" customFormat="1" x14ac:dyDescent="0.25">
      <c r="A155" s="77"/>
      <c r="B155" s="55"/>
      <c r="C155" s="55" t="s">
        <v>80</v>
      </c>
      <c r="D155" s="55" t="s">
        <v>67</v>
      </c>
      <c r="E155" s="82">
        <v>4.3999999999999997E-2</v>
      </c>
      <c r="F155" s="82">
        <f>E155*F152</f>
        <v>0.20908800000000002</v>
      </c>
      <c r="G155" s="80">
        <v>90</v>
      </c>
      <c r="H155" s="80">
        <f>G155*F155</f>
        <v>18.817920000000001</v>
      </c>
      <c r="I155" s="57"/>
      <c r="J155" s="57"/>
      <c r="K155" s="80"/>
      <c r="L155" s="80"/>
      <c r="M155" s="57">
        <f>L155+J155+H155</f>
        <v>18.817920000000001</v>
      </c>
      <c r="N155" s="60"/>
      <c r="O155" s="61"/>
      <c r="P155" s="62"/>
      <c r="Q155" s="61"/>
      <c r="R155" s="61"/>
      <c r="S155" s="70"/>
      <c r="AB155" s="4" t="s">
        <v>40</v>
      </c>
    </row>
    <row r="156" spans="1:28" s="70" customFormat="1" ht="27" x14ac:dyDescent="0.25">
      <c r="A156" s="49" t="s">
        <v>39</v>
      </c>
      <c r="B156" s="24" t="s">
        <v>133</v>
      </c>
      <c r="C156" s="68" t="s">
        <v>134</v>
      </c>
      <c r="D156" s="83" t="s">
        <v>28</v>
      </c>
      <c r="E156" s="67"/>
      <c r="F156" s="67">
        <f>4*1.1</f>
        <v>4.4000000000000004</v>
      </c>
      <c r="G156" s="79"/>
      <c r="H156" s="80"/>
      <c r="I156" s="57"/>
      <c r="J156" s="57"/>
      <c r="K156" s="80"/>
      <c r="L156" s="80"/>
      <c r="M156" s="57"/>
      <c r="N156" s="60"/>
      <c r="O156" s="61"/>
      <c r="P156" s="62"/>
      <c r="Q156" s="62"/>
      <c r="R156" s="94"/>
      <c r="S156" s="104"/>
      <c r="AB156" s="4" t="s">
        <v>40</v>
      </c>
    </row>
    <row r="157" spans="1:28" s="70" customFormat="1" x14ac:dyDescent="0.25">
      <c r="A157" s="109"/>
      <c r="B157" s="55"/>
      <c r="C157" s="26" t="s">
        <v>17</v>
      </c>
      <c r="D157" s="77" t="s">
        <v>28</v>
      </c>
      <c r="E157" s="110">
        <v>1</v>
      </c>
      <c r="F157" s="110">
        <f>F156*E157</f>
        <v>4.4000000000000004</v>
      </c>
      <c r="G157" s="26"/>
      <c r="H157" s="26"/>
      <c r="I157" s="26">
        <v>5</v>
      </c>
      <c r="J157" s="26">
        <f>F157*I157</f>
        <v>22</v>
      </c>
      <c r="K157" s="26"/>
      <c r="L157" s="26"/>
      <c r="M157" s="26">
        <f>H157+J157+L157</f>
        <v>22</v>
      </c>
      <c r="N157" s="60"/>
      <c r="O157" s="61"/>
      <c r="P157" s="62"/>
      <c r="Q157" s="62"/>
      <c r="R157" s="94"/>
      <c r="S157" s="104"/>
      <c r="AB157" s="4" t="s">
        <v>40</v>
      </c>
    </row>
    <row r="158" spans="1:28" s="70" customFormat="1" x14ac:dyDescent="0.25">
      <c r="A158" s="109"/>
      <c r="B158" s="55"/>
      <c r="C158" s="26" t="s">
        <v>155</v>
      </c>
      <c r="D158" s="77" t="s">
        <v>1</v>
      </c>
      <c r="E158" s="110">
        <v>1</v>
      </c>
      <c r="F158" s="82">
        <f>E158*F156</f>
        <v>4.4000000000000004</v>
      </c>
      <c r="G158" s="80">
        <v>4.5</v>
      </c>
      <c r="H158" s="80">
        <f>G158*F158</f>
        <v>19.8</v>
      </c>
      <c r="I158" s="26"/>
      <c r="J158" s="26"/>
      <c r="K158" s="26"/>
      <c r="L158" s="26"/>
      <c r="M158" s="26">
        <f>H158+J158+L158</f>
        <v>19.8</v>
      </c>
      <c r="N158" s="60"/>
      <c r="O158" s="61"/>
      <c r="P158" s="62"/>
      <c r="Q158" s="62"/>
      <c r="R158" s="94"/>
      <c r="S158" s="104"/>
      <c r="AB158" s="4" t="s">
        <v>40</v>
      </c>
    </row>
    <row r="159" spans="1:28" s="64" customFormat="1" ht="27" x14ac:dyDescent="0.25">
      <c r="A159" s="49" t="s">
        <v>39</v>
      </c>
      <c r="B159" s="48" t="s">
        <v>152</v>
      </c>
      <c r="C159" s="48" t="s">
        <v>154</v>
      </c>
      <c r="D159" s="48" t="s">
        <v>24</v>
      </c>
      <c r="E159" s="78"/>
      <c r="F159" s="67">
        <f>4*0.45*1.1</f>
        <v>1.9800000000000002</v>
      </c>
      <c r="G159" s="79"/>
      <c r="H159" s="79"/>
      <c r="I159" s="79"/>
      <c r="J159" s="79"/>
      <c r="K159" s="79"/>
      <c r="L159" s="79"/>
      <c r="M159" s="79"/>
      <c r="N159" s="60"/>
      <c r="O159" s="61"/>
      <c r="P159" s="62"/>
      <c r="Q159" s="62"/>
      <c r="R159" s="61"/>
      <c r="S159" s="95"/>
      <c r="AB159" s="4" t="s">
        <v>40</v>
      </c>
    </row>
    <row r="160" spans="1:28" s="64" customFormat="1" x14ac:dyDescent="0.25">
      <c r="A160" s="55"/>
      <c r="B160" s="56"/>
      <c r="C160" s="55" t="s">
        <v>30</v>
      </c>
      <c r="D160" s="77" t="s">
        <v>24</v>
      </c>
      <c r="E160" s="118">
        <v>1</v>
      </c>
      <c r="F160" s="58">
        <f>F159*E160</f>
        <v>1.9800000000000002</v>
      </c>
      <c r="G160" s="57"/>
      <c r="H160" s="57"/>
      <c r="I160" s="57">
        <v>8.5</v>
      </c>
      <c r="J160" s="57">
        <f>F160*I160</f>
        <v>16.830000000000002</v>
      </c>
      <c r="K160" s="57"/>
      <c r="L160" s="57"/>
      <c r="M160" s="57">
        <f>H160+J160+L160</f>
        <v>16.830000000000002</v>
      </c>
      <c r="N160" s="60"/>
      <c r="O160" s="61"/>
      <c r="P160" s="62"/>
      <c r="Q160" s="119"/>
      <c r="R160" s="61"/>
      <c r="S160" s="120"/>
      <c r="AB160" s="4" t="s">
        <v>40</v>
      </c>
    </row>
    <row r="161" spans="1:28" s="64" customFormat="1" x14ac:dyDescent="0.25">
      <c r="A161" s="87"/>
      <c r="B161" s="73"/>
      <c r="C161" s="55" t="s">
        <v>34</v>
      </c>
      <c r="D161" s="57" t="s">
        <v>1</v>
      </c>
      <c r="E161" s="118">
        <v>4.0999999999999995E-3</v>
      </c>
      <c r="F161" s="58">
        <f>F159*E161</f>
        <v>8.1180000000000002E-3</v>
      </c>
      <c r="G161" s="57"/>
      <c r="H161" s="57"/>
      <c r="I161" s="57"/>
      <c r="J161" s="57"/>
      <c r="K161" s="57">
        <v>3.2</v>
      </c>
      <c r="L161" s="57">
        <f>F161*K161</f>
        <v>2.5977600000000003E-2</v>
      </c>
      <c r="M161" s="57">
        <f>H161+J161+L161</f>
        <v>2.5977600000000003E-2</v>
      </c>
      <c r="N161" s="60"/>
      <c r="O161" s="61"/>
      <c r="P161" s="62"/>
      <c r="Q161" s="119"/>
      <c r="R161" s="61"/>
      <c r="S161" s="120"/>
      <c r="AB161" s="4" t="s">
        <v>40</v>
      </c>
    </row>
    <row r="162" spans="1:28" s="64" customFormat="1" x14ac:dyDescent="0.25">
      <c r="A162" s="87"/>
      <c r="B162" s="73"/>
      <c r="C162" s="55" t="s">
        <v>153</v>
      </c>
      <c r="D162" s="57" t="s">
        <v>70</v>
      </c>
      <c r="E162" s="118">
        <v>4.0999999999999995E-3</v>
      </c>
      <c r="F162" s="58">
        <f>F159*E162</f>
        <v>8.1180000000000002E-3</v>
      </c>
      <c r="G162" s="57">
        <v>2200</v>
      </c>
      <c r="H162" s="57">
        <f>F162*G162</f>
        <v>17.8596</v>
      </c>
      <c r="I162" s="57"/>
      <c r="J162" s="57"/>
      <c r="K162" s="57"/>
      <c r="L162" s="57"/>
      <c r="M162" s="57">
        <f>H162+J162+L162</f>
        <v>17.8596</v>
      </c>
      <c r="N162" s="60"/>
      <c r="O162" s="61"/>
      <c r="P162" s="62"/>
      <c r="Q162" s="119"/>
      <c r="R162" s="61"/>
      <c r="S162" s="120"/>
      <c r="AB162" s="4" t="s">
        <v>40</v>
      </c>
    </row>
    <row r="163" spans="1:28" s="64" customFormat="1" x14ac:dyDescent="0.25">
      <c r="A163" s="77"/>
      <c r="B163" s="77"/>
      <c r="C163" s="55" t="s">
        <v>74</v>
      </c>
      <c r="D163" s="77" t="s">
        <v>1</v>
      </c>
      <c r="E163" s="118">
        <v>7.8E-2</v>
      </c>
      <c r="F163" s="58">
        <f>F159*E163</f>
        <v>0.15444000000000002</v>
      </c>
      <c r="G163" s="80">
        <v>3.2</v>
      </c>
      <c r="H163" s="57">
        <f>F163*G163</f>
        <v>0.49420800000000009</v>
      </c>
      <c r="I163" s="80"/>
      <c r="J163" s="80"/>
      <c r="K163" s="80"/>
      <c r="L163" s="80"/>
      <c r="M163" s="57">
        <f>H163+J163+L163</f>
        <v>0.49420800000000009</v>
      </c>
      <c r="N163" s="60"/>
      <c r="O163" s="61"/>
      <c r="P163" s="62"/>
      <c r="Q163" s="121"/>
      <c r="R163" s="61"/>
      <c r="S163" s="95"/>
      <c r="AB163" s="4" t="s">
        <v>40</v>
      </c>
    </row>
    <row r="164" spans="1:28" s="84" customFormat="1" ht="27" x14ac:dyDescent="0.25">
      <c r="A164" s="49" t="s">
        <v>39</v>
      </c>
      <c r="B164" s="83" t="s">
        <v>81</v>
      </c>
      <c r="C164" s="48" t="s">
        <v>219</v>
      </c>
      <c r="D164" s="83" t="s">
        <v>24</v>
      </c>
      <c r="E164" s="78"/>
      <c r="F164" s="78">
        <f>(4.6+6+4.6+6)*3.1*1.1</f>
        <v>72.292000000000002</v>
      </c>
      <c r="G164" s="79"/>
      <c r="H164" s="80"/>
      <c r="I164" s="79"/>
      <c r="J164" s="80"/>
      <c r="K164" s="79"/>
      <c r="L164" s="80"/>
      <c r="M164" s="80"/>
      <c r="N164" s="60"/>
      <c r="O164" s="61"/>
      <c r="P164" s="62"/>
      <c r="Q164" s="62"/>
      <c r="R164" s="61"/>
      <c r="S164" s="70"/>
      <c r="AB164" s="4" t="s">
        <v>40</v>
      </c>
    </row>
    <row r="165" spans="1:28" s="84" customFormat="1" x14ac:dyDescent="0.25">
      <c r="A165" s="77"/>
      <c r="B165" s="83"/>
      <c r="C165" s="55" t="s">
        <v>30</v>
      </c>
      <c r="D165" s="77" t="s">
        <v>24</v>
      </c>
      <c r="E165" s="82">
        <v>1</v>
      </c>
      <c r="F165" s="82">
        <f>E165*F164</f>
        <v>72.292000000000002</v>
      </c>
      <c r="G165" s="80"/>
      <c r="H165" s="80"/>
      <c r="I165" s="80">
        <v>6.25</v>
      </c>
      <c r="J165" s="80">
        <f>I165*F165</f>
        <v>451.82499999999999</v>
      </c>
      <c r="K165" s="80"/>
      <c r="L165" s="80"/>
      <c r="M165" s="80">
        <f>L165+J165+H165</f>
        <v>451.82499999999999</v>
      </c>
      <c r="N165" s="60"/>
      <c r="O165" s="61"/>
      <c r="P165" s="62"/>
      <c r="Q165" s="61"/>
      <c r="R165" s="61"/>
      <c r="S165" s="70"/>
      <c r="AB165" s="4" t="s">
        <v>40</v>
      </c>
    </row>
    <row r="166" spans="1:28" s="84" customFormat="1" x14ac:dyDescent="0.25">
      <c r="A166" s="77"/>
      <c r="B166" s="77"/>
      <c r="C166" s="55" t="s">
        <v>18</v>
      </c>
      <c r="D166" s="77" t="s">
        <v>1</v>
      </c>
      <c r="E166" s="82">
        <v>0.01</v>
      </c>
      <c r="F166" s="82">
        <f>E166*F164</f>
        <v>0.72292000000000001</v>
      </c>
      <c r="G166" s="80"/>
      <c r="H166" s="80"/>
      <c r="I166" s="80"/>
      <c r="J166" s="80"/>
      <c r="K166" s="80">
        <v>3.2</v>
      </c>
      <c r="L166" s="80">
        <f>K166*F166</f>
        <v>2.3133440000000003</v>
      </c>
      <c r="M166" s="80">
        <f>L166+J166+H166</f>
        <v>2.3133440000000003</v>
      </c>
      <c r="N166" s="60"/>
      <c r="O166" s="61"/>
      <c r="P166" s="62"/>
      <c r="Q166" s="61"/>
      <c r="R166" s="61"/>
      <c r="S166" s="70"/>
      <c r="AB166" s="4" t="s">
        <v>40</v>
      </c>
    </row>
    <row r="167" spans="1:28" s="84" customFormat="1" x14ac:dyDescent="0.25">
      <c r="A167" s="77"/>
      <c r="B167" s="77"/>
      <c r="C167" s="55" t="s">
        <v>84</v>
      </c>
      <c r="D167" s="77" t="s">
        <v>61</v>
      </c>
      <c r="E167" s="82">
        <v>0.63</v>
      </c>
      <c r="F167" s="82">
        <f>E167*F164</f>
        <v>45.543959999999998</v>
      </c>
      <c r="G167" s="80">
        <v>5.2</v>
      </c>
      <c r="H167" s="80">
        <f>G167*F167</f>
        <v>236.82859199999999</v>
      </c>
      <c r="I167" s="80"/>
      <c r="J167" s="80"/>
      <c r="K167" s="80"/>
      <c r="L167" s="80"/>
      <c r="M167" s="80">
        <f>L167+J167+H167</f>
        <v>236.82859199999999</v>
      </c>
      <c r="N167" s="60"/>
      <c r="O167" s="61"/>
      <c r="P167" s="62"/>
      <c r="Q167" s="61"/>
      <c r="R167" s="61"/>
      <c r="S167" s="70"/>
      <c r="AB167" s="4" t="s">
        <v>40</v>
      </c>
    </row>
    <row r="168" spans="1:28" s="84" customFormat="1" x14ac:dyDescent="0.25">
      <c r="A168" s="77"/>
      <c r="B168" s="77"/>
      <c r="C168" s="55" t="s">
        <v>107</v>
      </c>
      <c r="D168" s="77" t="s">
        <v>61</v>
      </c>
      <c r="E168" s="82">
        <v>0.79</v>
      </c>
      <c r="F168" s="82">
        <f>E168*F164</f>
        <v>57.110680000000002</v>
      </c>
      <c r="G168" s="80">
        <v>3.5</v>
      </c>
      <c r="H168" s="80">
        <f>G168*F168</f>
        <v>199.88738000000001</v>
      </c>
      <c r="I168" s="80"/>
      <c r="J168" s="80"/>
      <c r="K168" s="80"/>
      <c r="L168" s="80"/>
      <c r="M168" s="80">
        <f>L168+J168+H168</f>
        <v>199.88738000000001</v>
      </c>
      <c r="N168" s="60"/>
      <c r="O168" s="61"/>
      <c r="P168" s="62"/>
      <c r="Q168" s="61"/>
      <c r="R168" s="61"/>
      <c r="S168" s="70"/>
      <c r="AB168" s="4" t="s">
        <v>40</v>
      </c>
    </row>
    <row r="169" spans="1:28" s="84" customFormat="1" x14ac:dyDescent="0.25">
      <c r="A169" s="77"/>
      <c r="B169" s="77"/>
      <c r="C169" s="55" t="s">
        <v>43</v>
      </c>
      <c r="D169" s="77" t="s">
        <v>1</v>
      </c>
      <c r="E169" s="82">
        <v>1.6E-2</v>
      </c>
      <c r="F169" s="82">
        <f>E169*F164</f>
        <v>1.1566720000000001</v>
      </c>
      <c r="G169" s="80">
        <v>3.2</v>
      </c>
      <c r="H169" s="80">
        <f>G169*F169</f>
        <v>3.7013504000000008</v>
      </c>
      <c r="I169" s="80"/>
      <c r="J169" s="80"/>
      <c r="K169" s="80"/>
      <c r="L169" s="80"/>
      <c r="M169" s="80">
        <f>L169+J169+H169</f>
        <v>3.7013504000000008</v>
      </c>
      <c r="N169" s="60"/>
      <c r="O169" s="61"/>
      <c r="P169" s="62"/>
      <c r="Q169" s="61"/>
      <c r="R169" s="61"/>
      <c r="S169" s="70"/>
      <c r="AB169" s="4" t="s">
        <v>40</v>
      </c>
    </row>
    <row r="170" spans="1:28" s="70" customFormat="1" x14ac:dyDescent="0.25">
      <c r="A170" s="49" t="s">
        <v>39</v>
      </c>
      <c r="B170" s="68" t="s">
        <v>122</v>
      </c>
      <c r="C170" s="68" t="s">
        <v>123</v>
      </c>
      <c r="D170" s="83" t="s">
        <v>24</v>
      </c>
      <c r="E170" s="78"/>
      <c r="F170" s="78">
        <f>4.6*6*1.1</f>
        <v>30.36</v>
      </c>
      <c r="G170" s="79"/>
      <c r="H170" s="80"/>
      <c r="I170" s="57"/>
      <c r="J170" s="57"/>
      <c r="K170" s="80"/>
      <c r="L170" s="80"/>
      <c r="M170" s="57"/>
      <c r="N170" s="60"/>
      <c r="O170" s="61"/>
      <c r="P170" s="62"/>
      <c r="Q170" s="62"/>
      <c r="R170" s="61"/>
      <c r="S170" s="84"/>
      <c r="AB170" s="4" t="s">
        <v>40</v>
      </c>
    </row>
    <row r="171" spans="1:28" s="70" customFormat="1" x14ac:dyDescent="0.25">
      <c r="A171" s="77"/>
      <c r="B171" s="55"/>
      <c r="C171" s="55" t="s">
        <v>30</v>
      </c>
      <c r="D171" s="77" t="s">
        <v>24</v>
      </c>
      <c r="E171" s="82">
        <v>0.28899999999999998</v>
      </c>
      <c r="F171" s="82">
        <f>E171*F170</f>
        <v>8.7740399999999994</v>
      </c>
      <c r="G171" s="80"/>
      <c r="H171" s="80"/>
      <c r="I171" s="57">
        <v>4.5999999999999996</v>
      </c>
      <c r="J171" s="57">
        <f>I171*F171</f>
        <v>40.360583999999996</v>
      </c>
      <c r="K171" s="80"/>
      <c r="L171" s="80"/>
      <c r="M171" s="57">
        <f>L171+J171+H171</f>
        <v>40.360583999999996</v>
      </c>
      <c r="N171" s="60"/>
      <c r="O171" s="61"/>
      <c r="P171" s="62"/>
      <c r="Q171" s="74"/>
      <c r="R171" s="61"/>
      <c r="S171" s="84"/>
      <c r="AB171" s="4" t="s">
        <v>40</v>
      </c>
    </row>
    <row r="172" spans="1:28" s="70" customFormat="1" x14ac:dyDescent="0.25">
      <c r="A172" s="77"/>
      <c r="B172" s="55"/>
      <c r="C172" s="55" t="s">
        <v>34</v>
      </c>
      <c r="D172" s="77" t="s">
        <v>1</v>
      </c>
      <c r="E172" s="82">
        <v>6.2800000000000009E-2</v>
      </c>
      <c r="F172" s="82">
        <f>E172*F170</f>
        <v>1.9066080000000003</v>
      </c>
      <c r="G172" s="80"/>
      <c r="H172" s="80"/>
      <c r="I172" s="57"/>
      <c r="J172" s="57"/>
      <c r="K172" s="80">
        <v>3.2</v>
      </c>
      <c r="L172" s="80">
        <f>K172*F172</f>
        <v>6.1011456000000015</v>
      </c>
      <c r="M172" s="57">
        <f>L172+J172+H172</f>
        <v>6.1011456000000015</v>
      </c>
      <c r="N172" s="60"/>
      <c r="O172" s="61"/>
      <c r="P172" s="62"/>
      <c r="Q172" s="74"/>
      <c r="R172" s="61"/>
      <c r="S172" s="84"/>
      <c r="AB172" s="4" t="s">
        <v>40</v>
      </c>
    </row>
    <row r="173" spans="1:28" s="71" customFormat="1" ht="27" x14ac:dyDescent="0.25">
      <c r="A173" s="49" t="s">
        <v>39</v>
      </c>
      <c r="B173" s="48" t="s">
        <v>124</v>
      </c>
      <c r="C173" s="48" t="s">
        <v>126</v>
      </c>
      <c r="D173" s="48" t="s">
        <v>24</v>
      </c>
      <c r="E173" s="67"/>
      <c r="F173" s="78">
        <f>4.6*6*1.1</f>
        <v>30.36</v>
      </c>
      <c r="G173" s="48"/>
      <c r="H173" s="48"/>
      <c r="I173" s="48"/>
      <c r="J173" s="48"/>
      <c r="K173" s="48"/>
      <c r="L173" s="48"/>
      <c r="M173" s="48"/>
      <c r="N173" s="60"/>
      <c r="O173" s="61"/>
      <c r="P173" s="62"/>
      <c r="Q173" s="62"/>
      <c r="R173" s="61"/>
      <c r="S173" s="64"/>
      <c r="AB173" s="4" t="s">
        <v>40</v>
      </c>
    </row>
    <row r="174" spans="1:28" s="71" customFormat="1" x14ac:dyDescent="0.25">
      <c r="A174" s="55"/>
      <c r="B174" s="56"/>
      <c r="C174" s="55" t="s">
        <v>30</v>
      </c>
      <c r="D174" s="77" t="s">
        <v>24</v>
      </c>
      <c r="E174" s="58">
        <v>1</v>
      </c>
      <c r="F174" s="58">
        <f>F173*E174</f>
        <v>30.36</v>
      </c>
      <c r="G174" s="57"/>
      <c r="H174" s="57"/>
      <c r="I174" s="57">
        <v>6.25</v>
      </c>
      <c r="J174" s="57">
        <f>F174*I174</f>
        <v>189.75</v>
      </c>
      <c r="K174" s="57"/>
      <c r="L174" s="57"/>
      <c r="M174" s="57">
        <f>H174+J174+L174</f>
        <v>189.75</v>
      </c>
      <c r="N174" s="60"/>
      <c r="O174" s="61"/>
      <c r="P174" s="62"/>
      <c r="Q174" s="106"/>
      <c r="R174" s="61"/>
      <c r="S174" s="64"/>
      <c r="AB174" s="4" t="s">
        <v>40</v>
      </c>
    </row>
    <row r="175" spans="1:28" s="71" customFormat="1" x14ac:dyDescent="0.25">
      <c r="A175" s="66"/>
      <c r="B175" s="57"/>
      <c r="C175" s="57" t="s">
        <v>34</v>
      </c>
      <c r="D175" s="57" t="s">
        <v>1</v>
      </c>
      <c r="E175" s="58">
        <v>9.4999999999999998E-3</v>
      </c>
      <c r="F175" s="58">
        <f>F173*E175</f>
        <v>0.28842000000000001</v>
      </c>
      <c r="G175" s="57"/>
      <c r="H175" s="57"/>
      <c r="I175" s="57"/>
      <c r="J175" s="57"/>
      <c r="K175" s="57">
        <v>3.2</v>
      </c>
      <c r="L175" s="57">
        <f>F175*K175</f>
        <v>0.9229440000000001</v>
      </c>
      <c r="M175" s="57">
        <f>H175+J175+L175</f>
        <v>0.9229440000000001</v>
      </c>
      <c r="N175" s="60"/>
      <c r="O175" s="61"/>
      <c r="P175" s="62"/>
      <c r="Q175" s="106"/>
      <c r="R175" s="61"/>
      <c r="S175" s="64"/>
      <c r="AB175" s="4" t="s">
        <v>40</v>
      </c>
    </row>
    <row r="176" spans="1:28" s="71" customFormat="1" x14ac:dyDescent="0.25">
      <c r="A176" s="66"/>
      <c r="B176" s="57"/>
      <c r="C176" s="57" t="s">
        <v>125</v>
      </c>
      <c r="D176" s="57" t="s">
        <v>67</v>
      </c>
      <c r="E176" s="58">
        <v>2.0400000000000001E-2</v>
      </c>
      <c r="F176" s="58">
        <f>F173*E176</f>
        <v>0.61934400000000001</v>
      </c>
      <c r="G176" s="57">
        <v>85</v>
      </c>
      <c r="H176" s="57">
        <f>F176*G176</f>
        <v>52.644240000000003</v>
      </c>
      <c r="I176" s="57"/>
      <c r="J176" s="57"/>
      <c r="K176" s="57"/>
      <c r="L176" s="57"/>
      <c r="M176" s="57">
        <f>H176+J176+L176</f>
        <v>52.644240000000003</v>
      </c>
      <c r="N176" s="60"/>
      <c r="O176" s="61"/>
      <c r="P176" s="62"/>
      <c r="Q176" s="106"/>
      <c r="R176" s="61"/>
      <c r="S176" s="64"/>
      <c r="AB176" s="4" t="s">
        <v>40</v>
      </c>
    </row>
    <row r="177" spans="1:28" s="71" customFormat="1" x14ac:dyDescent="0.25">
      <c r="A177" s="66"/>
      <c r="B177" s="57"/>
      <c r="C177" s="57" t="s">
        <v>74</v>
      </c>
      <c r="D177" s="57" t="s">
        <v>1</v>
      </c>
      <c r="E177" s="58">
        <v>6.3600000000000004E-2</v>
      </c>
      <c r="F177" s="58">
        <f>F173*E177</f>
        <v>1.9308960000000002</v>
      </c>
      <c r="G177" s="57">
        <v>3.2</v>
      </c>
      <c r="H177" s="57">
        <f>F177*G177</f>
        <v>6.1788672000000009</v>
      </c>
      <c r="I177" s="57"/>
      <c r="J177" s="57"/>
      <c r="K177" s="57"/>
      <c r="L177" s="57"/>
      <c r="M177" s="57">
        <f>H177+J177+L177</f>
        <v>6.1788672000000009</v>
      </c>
      <c r="N177" s="60"/>
      <c r="O177" s="61"/>
      <c r="P177" s="62"/>
      <c r="Q177" s="106"/>
      <c r="R177" s="61"/>
      <c r="S177" s="64"/>
      <c r="AB177" s="4" t="s">
        <v>40</v>
      </c>
    </row>
    <row r="178" spans="1:28" s="64" customFormat="1" ht="27" x14ac:dyDescent="0.25">
      <c r="A178" s="49" t="s">
        <v>39</v>
      </c>
      <c r="B178" s="48" t="s">
        <v>127</v>
      </c>
      <c r="C178" s="48" t="s">
        <v>130</v>
      </c>
      <c r="D178" s="48" t="s">
        <v>24</v>
      </c>
      <c r="E178" s="67"/>
      <c r="F178" s="78">
        <f>4.6*6*1.1</f>
        <v>30.36</v>
      </c>
      <c r="G178" s="48"/>
      <c r="H178" s="48"/>
      <c r="I178" s="48"/>
      <c r="J178" s="48"/>
      <c r="K178" s="48"/>
      <c r="L178" s="48"/>
      <c r="M178" s="48"/>
      <c r="N178" s="60"/>
      <c r="O178" s="61"/>
      <c r="P178" s="62"/>
      <c r="Q178" s="62"/>
      <c r="R178" s="61"/>
      <c r="S178" s="107"/>
      <c r="AB178" s="4" t="s">
        <v>40</v>
      </c>
    </row>
    <row r="179" spans="1:28" s="64" customFormat="1" x14ac:dyDescent="0.25">
      <c r="A179" s="55"/>
      <c r="B179" s="56"/>
      <c r="C179" s="55" t="s">
        <v>30</v>
      </c>
      <c r="D179" s="77" t="s">
        <v>24</v>
      </c>
      <c r="E179" s="58">
        <v>1</v>
      </c>
      <c r="F179" s="58">
        <f>F178*E179</f>
        <v>30.36</v>
      </c>
      <c r="G179" s="57"/>
      <c r="H179" s="57"/>
      <c r="I179" s="57">
        <v>6.25</v>
      </c>
      <c r="J179" s="57">
        <f>F179*I179</f>
        <v>189.75</v>
      </c>
      <c r="K179" s="57"/>
      <c r="L179" s="57"/>
      <c r="M179" s="57">
        <f t="shared" ref="M179:M184" si="25">H179+J179+L179</f>
        <v>189.75</v>
      </c>
      <c r="N179" s="60"/>
      <c r="O179" s="61"/>
      <c r="P179" s="62"/>
      <c r="Q179" s="106"/>
      <c r="R179" s="61"/>
      <c r="S179" s="107"/>
      <c r="AB179" s="4" t="s">
        <v>40</v>
      </c>
    </row>
    <row r="180" spans="1:28" s="64" customFormat="1" x14ac:dyDescent="0.25">
      <c r="A180" s="66"/>
      <c r="B180" s="57"/>
      <c r="C180" s="57" t="s">
        <v>34</v>
      </c>
      <c r="D180" s="57" t="s">
        <v>1</v>
      </c>
      <c r="E180" s="58">
        <v>3.6499999999999998E-2</v>
      </c>
      <c r="F180" s="58">
        <f>F178*E180</f>
        <v>1.1081399999999999</v>
      </c>
      <c r="G180" s="57"/>
      <c r="H180" s="57"/>
      <c r="I180" s="57"/>
      <c r="J180" s="57"/>
      <c r="K180" s="57">
        <v>3.2</v>
      </c>
      <c r="L180" s="57">
        <f>F180*K180</f>
        <v>3.5460479999999999</v>
      </c>
      <c r="M180" s="57">
        <f t="shared" si="25"/>
        <v>3.5460479999999999</v>
      </c>
      <c r="N180" s="60"/>
      <c r="O180" s="61"/>
      <c r="P180" s="62"/>
      <c r="Q180" s="106"/>
      <c r="R180" s="61"/>
      <c r="S180" s="107"/>
      <c r="AB180" s="4" t="s">
        <v>40</v>
      </c>
    </row>
    <row r="181" spans="1:28" s="64" customFormat="1" x14ac:dyDescent="0.25">
      <c r="A181" s="66"/>
      <c r="B181" s="57"/>
      <c r="C181" s="57" t="s">
        <v>131</v>
      </c>
      <c r="D181" s="108" t="s">
        <v>61</v>
      </c>
      <c r="E181" s="58">
        <v>0.13800000000000001</v>
      </c>
      <c r="F181" s="58">
        <f>F178*E181</f>
        <v>4.1896800000000001</v>
      </c>
      <c r="G181" s="57">
        <v>3.2</v>
      </c>
      <c r="H181" s="57">
        <f>F181*G181</f>
        <v>13.406976</v>
      </c>
      <c r="I181" s="57"/>
      <c r="J181" s="57"/>
      <c r="K181" s="57"/>
      <c r="L181" s="57"/>
      <c r="M181" s="57">
        <f t="shared" si="25"/>
        <v>13.406976</v>
      </c>
      <c r="N181" s="60"/>
      <c r="O181" s="61"/>
      <c r="P181" s="62"/>
      <c r="Q181" s="106"/>
      <c r="R181" s="61"/>
      <c r="S181" s="107"/>
      <c r="AB181" s="4" t="s">
        <v>40</v>
      </c>
    </row>
    <row r="182" spans="1:28" s="64" customFormat="1" x14ac:dyDescent="0.25">
      <c r="A182" s="66"/>
      <c r="B182" s="57"/>
      <c r="C182" s="57" t="s">
        <v>132</v>
      </c>
      <c r="D182" s="57" t="s">
        <v>24</v>
      </c>
      <c r="E182" s="58">
        <v>1.05</v>
      </c>
      <c r="F182" s="58">
        <f>F178*E182</f>
        <v>31.878</v>
      </c>
      <c r="G182" s="57">
        <v>22</v>
      </c>
      <c r="H182" s="57">
        <f>F182*G182</f>
        <v>701.31600000000003</v>
      </c>
      <c r="I182" s="57"/>
      <c r="J182" s="57"/>
      <c r="K182" s="57"/>
      <c r="L182" s="57"/>
      <c r="M182" s="57">
        <f t="shared" si="25"/>
        <v>701.31600000000003</v>
      </c>
      <c r="N182" s="60"/>
      <c r="O182" s="61"/>
      <c r="P182" s="62"/>
      <c r="Q182" s="106"/>
      <c r="R182" s="61"/>
      <c r="AB182" s="4" t="s">
        <v>40</v>
      </c>
    </row>
    <row r="183" spans="1:28" s="64" customFormat="1" x14ac:dyDescent="0.25">
      <c r="A183" s="66"/>
      <c r="B183" s="57"/>
      <c r="C183" s="57" t="s">
        <v>129</v>
      </c>
      <c r="D183" s="57" t="s">
        <v>28</v>
      </c>
      <c r="E183" s="58">
        <v>1.07</v>
      </c>
      <c r="F183" s="58">
        <f>F178*E183</f>
        <v>32.485199999999999</v>
      </c>
      <c r="G183" s="57">
        <v>2.5</v>
      </c>
      <c r="H183" s="57">
        <f>F183*G183</f>
        <v>81.212999999999994</v>
      </c>
      <c r="I183" s="57"/>
      <c r="J183" s="57"/>
      <c r="K183" s="57"/>
      <c r="L183" s="57"/>
      <c r="M183" s="57">
        <f t="shared" si="25"/>
        <v>81.212999999999994</v>
      </c>
      <c r="N183" s="60"/>
      <c r="O183" s="61"/>
      <c r="P183" s="62"/>
      <c r="Q183" s="106"/>
      <c r="R183" s="61"/>
      <c r="AB183" s="4" t="s">
        <v>40</v>
      </c>
    </row>
    <row r="184" spans="1:28" s="64" customFormat="1" x14ac:dyDescent="0.25">
      <c r="A184" s="66"/>
      <c r="B184" s="57"/>
      <c r="C184" s="57" t="s">
        <v>74</v>
      </c>
      <c r="D184" s="57" t="s">
        <v>1</v>
      </c>
      <c r="E184" s="58">
        <v>0.107</v>
      </c>
      <c r="F184" s="58">
        <f>F178*E184</f>
        <v>3.2485200000000001</v>
      </c>
      <c r="G184" s="57">
        <v>3.2</v>
      </c>
      <c r="H184" s="57">
        <f>F184*G184</f>
        <v>10.395264000000001</v>
      </c>
      <c r="I184" s="57"/>
      <c r="J184" s="57"/>
      <c r="K184" s="57"/>
      <c r="L184" s="57"/>
      <c r="M184" s="57">
        <f t="shared" si="25"/>
        <v>10.395264000000001</v>
      </c>
      <c r="N184" s="60"/>
      <c r="O184" s="61"/>
      <c r="P184" s="62"/>
      <c r="Q184" s="106"/>
      <c r="R184" s="61"/>
      <c r="AB184" s="4" t="s">
        <v>40</v>
      </c>
    </row>
    <row r="185" spans="1:28" s="70" customFormat="1" ht="27" x14ac:dyDescent="0.25">
      <c r="A185" s="49" t="s">
        <v>39</v>
      </c>
      <c r="B185" s="48" t="s">
        <v>135</v>
      </c>
      <c r="C185" s="48" t="s">
        <v>136</v>
      </c>
      <c r="D185" s="48" t="s">
        <v>24</v>
      </c>
      <c r="E185" s="67"/>
      <c r="F185" s="78">
        <f>4.6*6*1.1</f>
        <v>30.36</v>
      </c>
      <c r="G185" s="48"/>
      <c r="H185" s="48"/>
      <c r="I185" s="48"/>
      <c r="J185" s="48"/>
      <c r="K185" s="48"/>
      <c r="L185" s="48"/>
      <c r="M185" s="48"/>
      <c r="N185" s="60"/>
      <c r="O185" s="61"/>
      <c r="P185" s="62"/>
      <c r="Q185" s="111"/>
      <c r="R185" s="61"/>
      <c r="S185" s="112"/>
      <c r="AB185" s="4" t="s">
        <v>40</v>
      </c>
    </row>
    <row r="186" spans="1:28" s="70" customFormat="1" x14ac:dyDescent="0.25">
      <c r="A186" s="87"/>
      <c r="B186" s="57"/>
      <c r="C186" s="57" t="s">
        <v>104</v>
      </c>
      <c r="D186" s="77" t="s">
        <v>24</v>
      </c>
      <c r="E186" s="58">
        <f>2.61+1.1</f>
        <v>3.71</v>
      </c>
      <c r="F186" s="58">
        <f>F185*E186</f>
        <v>112.6356</v>
      </c>
      <c r="G186" s="57"/>
      <c r="H186" s="57"/>
      <c r="I186" s="57">
        <v>4.5999999999999996</v>
      </c>
      <c r="J186" s="57">
        <f>F186*I186</f>
        <v>518.12375999999995</v>
      </c>
      <c r="K186" s="57"/>
      <c r="L186" s="57"/>
      <c r="M186" s="57">
        <f>H186+J186+L186</f>
        <v>518.12375999999995</v>
      </c>
      <c r="N186" s="60"/>
      <c r="O186" s="61"/>
      <c r="P186" s="62"/>
      <c r="Q186" s="111"/>
      <c r="R186" s="61"/>
      <c r="S186" s="112"/>
      <c r="AB186" s="4" t="s">
        <v>40</v>
      </c>
    </row>
    <row r="187" spans="1:28" s="70" customFormat="1" x14ac:dyDescent="0.25">
      <c r="A187" s="87"/>
      <c r="B187" s="57"/>
      <c r="C187" s="57" t="s">
        <v>18</v>
      </c>
      <c r="D187" s="57" t="s">
        <v>1</v>
      </c>
      <c r="E187" s="58">
        <f>0.035+0.0104</f>
        <v>4.5400000000000003E-2</v>
      </c>
      <c r="F187" s="58">
        <f>F185*E187</f>
        <v>1.378344</v>
      </c>
      <c r="G187" s="57"/>
      <c r="H187" s="57"/>
      <c r="I187" s="57"/>
      <c r="J187" s="57"/>
      <c r="K187" s="57">
        <v>3.2</v>
      </c>
      <c r="L187" s="57">
        <f>F187*K187</f>
        <v>4.4107007999999999</v>
      </c>
      <c r="M187" s="57">
        <f>H187+J187+L187</f>
        <v>4.4107007999999999</v>
      </c>
      <c r="N187" s="60"/>
      <c r="O187" s="61"/>
      <c r="P187" s="62"/>
      <c r="Q187" s="111"/>
      <c r="R187" s="61"/>
      <c r="S187" s="112"/>
      <c r="AB187" s="4" t="s">
        <v>40</v>
      </c>
    </row>
    <row r="188" spans="1:28" s="70" customFormat="1" x14ac:dyDescent="0.25">
      <c r="A188" s="87"/>
      <c r="B188" s="57"/>
      <c r="C188" s="57" t="s">
        <v>137</v>
      </c>
      <c r="D188" s="57" t="s">
        <v>24</v>
      </c>
      <c r="E188" s="58">
        <v>1.03</v>
      </c>
      <c r="F188" s="58">
        <f>F185*E188</f>
        <v>31.270800000000001</v>
      </c>
      <c r="G188" s="57">
        <v>21.5</v>
      </c>
      <c r="H188" s="57">
        <f>F188*G188</f>
        <v>672.32220000000007</v>
      </c>
      <c r="I188" s="57"/>
      <c r="J188" s="57"/>
      <c r="K188" s="57"/>
      <c r="L188" s="57"/>
      <c r="M188" s="57">
        <f>H188+J188+L188</f>
        <v>672.32220000000007</v>
      </c>
      <c r="N188" s="60"/>
      <c r="O188" s="61"/>
      <c r="P188" s="62"/>
      <c r="Q188" s="111"/>
      <c r="R188" s="61"/>
      <c r="S188" s="112"/>
      <c r="AB188" s="4" t="s">
        <v>40</v>
      </c>
    </row>
    <row r="189" spans="1:28" s="70" customFormat="1" x14ac:dyDescent="0.25">
      <c r="A189" s="87"/>
      <c r="B189" s="57"/>
      <c r="C189" s="57" t="s">
        <v>138</v>
      </c>
      <c r="D189" s="57" t="s">
        <v>28</v>
      </c>
      <c r="E189" s="58">
        <v>3.6669999999999998</v>
      </c>
      <c r="F189" s="58">
        <f>F186*E189</f>
        <v>413.03474519999997</v>
      </c>
      <c r="G189" s="57">
        <v>3.5</v>
      </c>
      <c r="H189" s="57">
        <f>F189*G189</f>
        <v>1445.6216081999999</v>
      </c>
      <c r="I189" s="57"/>
      <c r="J189" s="57"/>
      <c r="K189" s="57"/>
      <c r="L189" s="57"/>
      <c r="M189" s="57">
        <f>H189+J189+L189</f>
        <v>1445.6216081999999</v>
      </c>
      <c r="N189" s="60"/>
      <c r="O189" s="61"/>
      <c r="P189" s="62"/>
      <c r="Q189" s="111"/>
      <c r="R189" s="61"/>
      <c r="S189" s="112"/>
      <c r="AB189" s="4" t="s">
        <v>40</v>
      </c>
    </row>
    <row r="190" spans="1:28" s="70" customFormat="1" x14ac:dyDescent="0.25">
      <c r="A190" s="87"/>
      <c r="B190" s="57"/>
      <c r="C190" s="57" t="s">
        <v>74</v>
      </c>
      <c r="D190" s="57" t="s">
        <v>1</v>
      </c>
      <c r="E190" s="58">
        <f>0.389+0.163</f>
        <v>0.55200000000000005</v>
      </c>
      <c r="F190" s="58">
        <f>F186*E190</f>
        <v>62.174851200000006</v>
      </c>
      <c r="G190" s="57">
        <v>3.2</v>
      </c>
      <c r="H190" s="57">
        <f>F190*G190</f>
        <v>198.95952384000003</v>
      </c>
      <c r="I190" s="57"/>
      <c r="J190" s="57"/>
      <c r="K190" s="57"/>
      <c r="L190" s="57"/>
      <c r="M190" s="57">
        <f>H190+J190+L190</f>
        <v>198.95952384000003</v>
      </c>
      <c r="N190" s="60"/>
      <c r="O190" s="61"/>
      <c r="P190" s="62"/>
      <c r="Q190" s="111"/>
      <c r="R190" s="61"/>
      <c r="S190" s="112"/>
      <c r="AB190" s="4" t="s">
        <v>40</v>
      </c>
    </row>
    <row r="191" spans="1:28" ht="27" x14ac:dyDescent="0.25">
      <c r="A191" s="49" t="s">
        <v>39</v>
      </c>
      <c r="B191" s="151"/>
      <c r="C191" s="134" t="s">
        <v>212</v>
      </c>
      <c r="D191" s="142"/>
      <c r="E191" s="113"/>
      <c r="F191" s="149"/>
      <c r="G191" s="114"/>
      <c r="H191" s="115"/>
      <c r="I191" s="116"/>
      <c r="J191" s="114"/>
      <c r="K191" s="116"/>
      <c r="L191" s="115"/>
      <c r="M191" s="116"/>
      <c r="AB191" s="4" t="s">
        <v>40</v>
      </c>
    </row>
    <row r="192" spans="1:28" s="104" customFormat="1" ht="27" x14ac:dyDescent="0.25">
      <c r="A192" s="49" t="s">
        <v>39</v>
      </c>
      <c r="B192" s="122" t="s">
        <v>157</v>
      </c>
      <c r="C192" s="68" t="s">
        <v>232</v>
      </c>
      <c r="D192" s="83" t="s">
        <v>148</v>
      </c>
      <c r="E192" s="83"/>
      <c r="F192" s="83">
        <v>1</v>
      </c>
      <c r="G192" s="79"/>
      <c r="H192" s="79"/>
      <c r="I192" s="79"/>
      <c r="J192" s="79"/>
      <c r="K192" s="79"/>
      <c r="L192" s="79"/>
      <c r="M192" s="79"/>
      <c r="N192" s="60"/>
      <c r="O192" s="61"/>
      <c r="P192" s="62"/>
      <c r="Q192" s="61"/>
      <c r="R192" s="61"/>
      <c r="S192" s="70"/>
      <c r="AB192" s="4" t="s">
        <v>40</v>
      </c>
    </row>
    <row r="193" spans="1:28" s="104" customFormat="1" x14ac:dyDescent="0.25">
      <c r="A193" s="77"/>
      <c r="B193" s="77"/>
      <c r="C193" s="55" t="s">
        <v>104</v>
      </c>
      <c r="D193" s="77" t="s">
        <v>148</v>
      </c>
      <c r="E193" s="77">
        <v>1</v>
      </c>
      <c r="F193" s="96">
        <f>F192*E193</f>
        <v>1</v>
      </c>
      <c r="G193" s="80"/>
      <c r="H193" s="80"/>
      <c r="I193" s="80">
        <v>12.5</v>
      </c>
      <c r="J193" s="30">
        <f>F193*I193</f>
        <v>12.5</v>
      </c>
      <c r="K193" s="80"/>
      <c r="L193" s="80"/>
      <c r="M193" s="80">
        <v>30.240000000000002</v>
      </c>
      <c r="N193" s="60"/>
      <c r="O193" s="61"/>
      <c r="P193" s="62"/>
      <c r="Q193" s="61"/>
      <c r="R193" s="61"/>
      <c r="S193" s="70"/>
      <c r="AB193" s="4" t="s">
        <v>40</v>
      </c>
    </row>
    <row r="194" spans="1:28" s="104" customFormat="1" x14ac:dyDescent="0.25">
      <c r="A194" s="77"/>
      <c r="B194" s="77"/>
      <c r="C194" s="55" t="s">
        <v>34</v>
      </c>
      <c r="D194" s="77" t="s">
        <v>1</v>
      </c>
      <c r="E194" s="77">
        <v>0.3</v>
      </c>
      <c r="F194" s="96">
        <f>F192*E194</f>
        <v>0.3</v>
      </c>
      <c r="G194" s="80"/>
      <c r="H194" s="80"/>
      <c r="I194" s="80"/>
      <c r="J194" s="80"/>
      <c r="K194" s="80">
        <v>3.2</v>
      </c>
      <c r="L194" s="80">
        <f>K194*F194</f>
        <v>0.96</v>
      </c>
      <c r="M194" s="80">
        <v>8.64</v>
      </c>
      <c r="N194" s="60"/>
      <c r="O194" s="61"/>
      <c r="P194" s="62"/>
      <c r="Q194" s="61"/>
      <c r="R194" s="61"/>
      <c r="S194" s="70"/>
      <c r="AB194" s="4" t="s">
        <v>40</v>
      </c>
    </row>
    <row r="195" spans="1:28" s="70" customFormat="1" ht="40.5" x14ac:dyDescent="0.25">
      <c r="A195" s="49" t="s">
        <v>39</v>
      </c>
      <c r="B195" s="68" t="s">
        <v>158</v>
      </c>
      <c r="C195" s="68" t="s">
        <v>213</v>
      </c>
      <c r="D195" s="83" t="s">
        <v>24</v>
      </c>
      <c r="E195" s="78"/>
      <c r="F195" s="78">
        <f>(1.5+1+1.5+1)*3+1.5*1*1.1</f>
        <v>16.649999999999999</v>
      </c>
      <c r="G195" s="79"/>
      <c r="H195" s="80"/>
      <c r="I195" s="57"/>
      <c r="J195" s="57"/>
      <c r="K195" s="80"/>
      <c r="L195" s="80"/>
      <c r="M195" s="57"/>
      <c r="N195" s="60"/>
      <c r="O195" s="61"/>
      <c r="P195" s="62"/>
      <c r="Q195" s="62"/>
      <c r="R195" s="61"/>
      <c r="S195" s="71"/>
      <c r="AB195" s="4" t="s">
        <v>40</v>
      </c>
    </row>
    <row r="196" spans="1:28" s="70" customFormat="1" x14ac:dyDescent="0.25">
      <c r="A196" s="77"/>
      <c r="B196" s="55"/>
      <c r="C196" s="55" t="s">
        <v>30</v>
      </c>
      <c r="D196" s="77" t="s">
        <v>24</v>
      </c>
      <c r="E196" s="82">
        <v>0.32299999999999995</v>
      </c>
      <c r="F196" s="82">
        <f>E196*F195</f>
        <v>5.3779499999999985</v>
      </c>
      <c r="G196" s="80"/>
      <c r="H196" s="80"/>
      <c r="I196" s="57">
        <v>4.5999999999999996</v>
      </c>
      <c r="J196" s="57">
        <f>I196*F196</f>
        <v>24.738569999999992</v>
      </c>
      <c r="K196" s="80"/>
      <c r="L196" s="80"/>
      <c r="M196" s="57">
        <f>L196+J196+H196</f>
        <v>24.738569999999992</v>
      </c>
      <c r="N196" s="60"/>
      <c r="O196" s="61"/>
      <c r="P196" s="62"/>
      <c r="Q196" s="63"/>
      <c r="R196" s="61"/>
      <c r="S196" s="71"/>
      <c r="AB196" s="4" t="s">
        <v>40</v>
      </c>
    </row>
    <row r="197" spans="1:28" s="70" customFormat="1" x14ac:dyDescent="0.25">
      <c r="A197" s="77"/>
      <c r="B197" s="55"/>
      <c r="C197" s="55" t="s">
        <v>34</v>
      </c>
      <c r="D197" s="77" t="s">
        <v>1</v>
      </c>
      <c r="E197" s="82">
        <v>2.1499999999999998E-2</v>
      </c>
      <c r="F197" s="82">
        <f>E197*F195</f>
        <v>0.35797499999999993</v>
      </c>
      <c r="G197" s="80"/>
      <c r="H197" s="80"/>
      <c r="I197" s="57"/>
      <c r="J197" s="57"/>
      <c r="K197" s="80">
        <v>3.2</v>
      </c>
      <c r="L197" s="80">
        <f>K197*F197</f>
        <v>1.1455199999999999</v>
      </c>
      <c r="M197" s="57">
        <f>L197+J197+H197</f>
        <v>1.1455199999999999</v>
      </c>
      <c r="N197" s="60"/>
      <c r="O197" s="61"/>
      <c r="P197" s="62"/>
      <c r="Q197" s="63"/>
      <c r="R197" s="61"/>
      <c r="S197" s="71"/>
      <c r="AB197" s="4" t="s">
        <v>40</v>
      </c>
    </row>
    <row r="198" spans="1:28" s="104" customFormat="1" ht="40.5" x14ac:dyDescent="0.25">
      <c r="A198" s="49" t="s">
        <v>39</v>
      </c>
      <c r="B198" s="24" t="s">
        <v>304</v>
      </c>
      <c r="C198" s="83" t="s">
        <v>305</v>
      </c>
      <c r="D198" s="83" t="s">
        <v>28</v>
      </c>
      <c r="E198" s="96"/>
      <c r="F198" s="79">
        <v>15</v>
      </c>
      <c r="G198" s="80"/>
      <c r="H198" s="80"/>
      <c r="I198" s="80"/>
      <c r="J198" s="80"/>
      <c r="K198" s="80"/>
      <c r="L198" s="80"/>
      <c r="M198" s="80"/>
      <c r="N198" s="60"/>
      <c r="O198" s="61"/>
      <c r="P198" s="62"/>
      <c r="Q198" s="62"/>
      <c r="R198" s="61"/>
      <c r="S198" s="95"/>
      <c r="AB198" s="4" t="s">
        <v>40</v>
      </c>
    </row>
    <row r="199" spans="1:28" s="104" customFormat="1" x14ac:dyDescent="0.25">
      <c r="A199" s="77"/>
      <c r="B199" s="77"/>
      <c r="C199" s="77" t="s">
        <v>306</v>
      </c>
      <c r="D199" s="77" t="s">
        <v>307</v>
      </c>
      <c r="E199" s="96">
        <f>0.4*60.9/100</f>
        <v>0.24359999999999998</v>
      </c>
      <c r="F199" s="96">
        <f>F198*E199</f>
        <v>3.6539999999999999</v>
      </c>
      <c r="G199" s="80"/>
      <c r="H199" s="80"/>
      <c r="I199" s="57">
        <v>4.5999999999999996</v>
      </c>
      <c r="J199" s="57">
        <f>I199*F199</f>
        <v>16.808399999999999</v>
      </c>
      <c r="K199" s="80"/>
      <c r="L199" s="80"/>
      <c r="M199" s="57">
        <f>L199+J199+H199</f>
        <v>16.808399999999999</v>
      </c>
      <c r="N199" s="60"/>
      <c r="O199" s="61"/>
      <c r="P199" s="62"/>
      <c r="Q199" s="61"/>
      <c r="R199" s="61"/>
      <c r="S199" s="70"/>
      <c r="AB199" s="4" t="s">
        <v>40</v>
      </c>
    </row>
    <row r="200" spans="1:28" s="104" customFormat="1" x14ac:dyDescent="0.25">
      <c r="A200" s="77"/>
      <c r="B200" s="77"/>
      <c r="C200" s="77" t="s">
        <v>34</v>
      </c>
      <c r="D200" s="77" t="s">
        <v>1</v>
      </c>
      <c r="E200" s="96">
        <f>0.4*0.21/100</f>
        <v>8.4000000000000003E-4</v>
      </c>
      <c r="F200" s="96">
        <f>F198*E200</f>
        <v>1.26E-2</v>
      </c>
      <c r="G200" s="57"/>
      <c r="H200" s="57"/>
      <c r="I200" s="57"/>
      <c r="J200" s="57"/>
      <c r="K200" s="57">
        <v>3.2</v>
      </c>
      <c r="L200" s="57">
        <f>K200*F200</f>
        <v>4.0320000000000002E-2</v>
      </c>
      <c r="M200" s="57">
        <f>L200+J200+H200</f>
        <v>4.0320000000000002E-2</v>
      </c>
      <c r="N200" s="60"/>
      <c r="O200" s="61"/>
      <c r="P200" s="62"/>
      <c r="Q200" s="121"/>
      <c r="R200" s="61"/>
      <c r="S200" s="95"/>
      <c r="AB200" s="4" t="s">
        <v>40</v>
      </c>
    </row>
    <row r="201" spans="1:28" s="104" customFormat="1" ht="40.5" x14ac:dyDescent="0.25">
      <c r="A201" s="49" t="s">
        <v>39</v>
      </c>
      <c r="B201" s="24" t="s">
        <v>304</v>
      </c>
      <c r="C201" s="83" t="s">
        <v>308</v>
      </c>
      <c r="D201" s="83" t="s">
        <v>28</v>
      </c>
      <c r="E201" s="96"/>
      <c r="F201" s="79">
        <v>25</v>
      </c>
      <c r="G201" s="80"/>
      <c r="H201" s="80"/>
      <c r="I201" s="80"/>
      <c r="J201" s="80"/>
      <c r="K201" s="80"/>
      <c r="L201" s="80"/>
      <c r="M201" s="80"/>
      <c r="N201" s="60"/>
      <c r="O201" s="61"/>
      <c r="P201" s="62"/>
      <c r="Q201" s="62"/>
      <c r="R201" s="61"/>
      <c r="S201" s="95"/>
      <c r="AB201" s="4" t="s">
        <v>40</v>
      </c>
    </row>
    <row r="202" spans="1:28" s="104" customFormat="1" x14ac:dyDescent="0.25">
      <c r="A202" s="77"/>
      <c r="B202" s="77"/>
      <c r="C202" s="77" t="s">
        <v>306</v>
      </c>
      <c r="D202" s="77" t="s">
        <v>28</v>
      </c>
      <c r="E202" s="96">
        <f>0.4*60.9/100</f>
        <v>0.24359999999999998</v>
      </c>
      <c r="F202" s="96">
        <f>F201*E202</f>
        <v>6.09</v>
      </c>
      <c r="G202" s="80"/>
      <c r="H202" s="80"/>
      <c r="I202" s="57">
        <v>4.5999999999999996</v>
      </c>
      <c r="J202" s="57">
        <f>I202*F202</f>
        <v>28.013999999999996</v>
      </c>
      <c r="K202" s="80"/>
      <c r="L202" s="80"/>
      <c r="M202" s="57">
        <f>L202+J202+H202</f>
        <v>28.013999999999996</v>
      </c>
      <c r="N202" s="60"/>
      <c r="O202" s="61"/>
      <c r="P202" s="62"/>
      <c r="Q202" s="61"/>
      <c r="R202" s="61"/>
      <c r="S202" s="70"/>
      <c r="AB202" s="4" t="s">
        <v>40</v>
      </c>
    </row>
    <row r="203" spans="1:28" s="117" customFormat="1" x14ac:dyDescent="0.25">
      <c r="A203" s="77"/>
      <c r="B203" s="77"/>
      <c r="C203" s="77" t="s">
        <v>34</v>
      </c>
      <c r="D203" s="77" t="s">
        <v>1</v>
      </c>
      <c r="E203" s="96">
        <f>0.4*0.21/100</f>
        <v>8.4000000000000003E-4</v>
      </c>
      <c r="F203" s="96">
        <f>F201*E203</f>
        <v>2.1000000000000001E-2</v>
      </c>
      <c r="G203" s="80"/>
      <c r="H203" s="80"/>
      <c r="I203" s="80"/>
      <c r="J203" s="80"/>
      <c r="K203" s="80">
        <v>3.2</v>
      </c>
      <c r="L203" s="80">
        <f t="shared" ref="L203" si="26">K203*F203</f>
        <v>6.720000000000001E-2</v>
      </c>
      <c r="M203" s="57">
        <f>L203+J203+H203</f>
        <v>6.720000000000001E-2</v>
      </c>
      <c r="N203" s="60"/>
      <c r="O203" s="61"/>
      <c r="P203" s="62"/>
      <c r="Q203" s="121"/>
      <c r="R203" s="61"/>
      <c r="S203" s="95"/>
      <c r="AB203" s="4" t="s">
        <v>40</v>
      </c>
    </row>
    <row r="204" spans="1:28" s="70" customFormat="1" ht="40.5" x14ac:dyDescent="0.25">
      <c r="A204" s="49" t="s">
        <v>39</v>
      </c>
      <c r="B204" s="68" t="s">
        <v>66</v>
      </c>
      <c r="C204" s="50" t="s">
        <v>214</v>
      </c>
      <c r="D204" s="68" t="s">
        <v>67</v>
      </c>
      <c r="E204" s="67"/>
      <c r="F204" s="48">
        <f>1.2*0.8*0.2*1.1</f>
        <v>0.21120000000000003</v>
      </c>
      <c r="G204" s="48"/>
      <c r="H204" s="48"/>
      <c r="I204" s="48"/>
      <c r="J204" s="48"/>
      <c r="K204" s="48"/>
      <c r="L204" s="48"/>
      <c r="M204" s="48"/>
      <c r="N204" s="60"/>
      <c r="O204" s="61"/>
      <c r="P204" s="62"/>
      <c r="Q204" s="62"/>
      <c r="R204" s="61"/>
      <c r="S204" s="69"/>
      <c r="AB204" s="4" t="s">
        <v>40</v>
      </c>
    </row>
    <row r="205" spans="1:28" s="70" customFormat="1" x14ac:dyDescent="0.25">
      <c r="A205" s="55"/>
      <c r="B205" s="56"/>
      <c r="C205" s="55" t="s">
        <v>30</v>
      </c>
      <c r="D205" s="77" t="s">
        <v>67</v>
      </c>
      <c r="E205" s="59">
        <v>1</v>
      </c>
      <c r="F205" s="59">
        <f>F204*E205</f>
        <v>0.21120000000000003</v>
      </c>
      <c r="G205" s="57"/>
      <c r="H205" s="57"/>
      <c r="I205" s="57">
        <v>75</v>
      </c>
      <c r="J205" s="57">
        <f>F205*I205</f>
        <v>15.840000000000002</v>
      </c>
      <c r="K205" s="57"/>
      <c r="L205" s="57"/>
      <c r="M205" s="57">
        <f t="shared" ref="M205:M212" si="27">H205+J205+L205</f>
        <v>15.840000000000002</v>
      </c>
      <c r="N205" s="60"/>
      <c r="O205" s="61"/>
      <c r="P205" s="62"/>
      <c r="Q205" s="63"/>
      <c r="R205" s="61"/>
      <c r="S205" s="71"/>
      <c r="AB205" s="4" t="s">
        <v>40</v>
      </c>
    </row>
    <row r="206" spans="1:28" s="70" customFormat="1" x14ac:dyDescent="0.25">
      <c r="A206" s="72"/>
      <c r="B206" s="73"/>
      <c r="C206" s="55" t="s">
        <v>68</v>
      </c>
      <c r="D206" s="55" t="s">
        <v>1</v>
      </c>
      <c r="E206" s="58">
        <f>112/100</f>
        <v>1.1200000000000001</v>
      </c>
      <c r="F206" s="58">
        <f>F204*E206</f>
        <v>0.23654400000000006</v>
      </c>
      <c r="G206" s="57"/>
      <c r="H206" s="57"/>
      <c r="I206" s="57"/>
      <c r="J206" s="57"/>
      <c r="K206" s="57">
        <v>3.2</v>
      </c>
      <c r="L206" s="57">
        <f>F206*K206</f>
        <v>0.75694080000000019</v>
      </c>
      <c r="M206" s="57">
        <f t="shared" si="27"/>
        <v>0.75694080000000019</v>
      </c>
      <c r="N206" s="60"/>
      <c r="O206" s="61"/>
      <c r="P206" s="62"/>
      <c r="Q206" s="63"/>
      <c r="R206" s="61"/>
      <c r="S206" s="71"/>
      <c r="AB206" s="4" t="s">
        <v>40</v>
      </c>
    </row>
    <row r="207" spans="1:28" s="70" customFormat="1" x14ac:dyDescent="0.25">
      <c r="A207" s="72"/>
      <c r="B207" s="73"/>
      <c r="C207" s="55" t="s">
        <v>69</v>
      </c>
      <c r="D207" s="55" t="s">
        <v>70</v>
      </c>
      <c r="E207" s="58">
        <f>11.5/100</f>
        <v>0.115</v>
      </c>
      <c r="F207" s="58">
        <f>F204*E207</f>
        <v>2.4288000000000004E-2</v>
      </c>
      <c r="G207" s="57">
        <v>1150</v>
      </c>
      <c r="H207" s="57">
        <f t="shared" ref="H207:H212" si="28">F207*G207</f>
        <v>27.931200000000004</v>
      </c>
      <c r="I207" s="57"/>
      <c r="J207" s="57"/>
      <c r="K207" s="57"/>
      <c r="L207" s="57"/>
      <c r="M207" s="57">
        <f t="shared" si="27"/>
        <v>27.931200000000004</v>
      </c>
      <c r="N207" s="60"/>
      <c r="O207" s="61"/>
      <c r="P207" s="62"/>
      <c r="Q207" s="63"/>
      <c r="R207" s="61"/>
      <c r="S207" s="71"/>
      <c r="AB207" s="4" t="s">
        <v>40</v>
      </c>
    </row>
    <row r="208" spans="1:28" s="70" customFormat="1" x14ac:dyDescent="0.25">
      <c r="A208" s="72"/>
      <c r="B208" s="68"/>
      <c r="C208" s="55" t="s">
        <v>71</v>
      </c>
      <c r="D208" s="55" t="s">
        <v>67</v>
      </c>
      <c r="E208" s="58">
        <f>101.5/100</f>
        <v>1.0149999999999999</v>
      </c>
      <c r="F208" s="58">
        <f>F204*E208</f>
        <v>0.214368</v>
      </c>
      <c r="G208" s="57">
        <v>95</v>
      </c>
      <c r="H208" s="57">
        <f t="shared" si="28"/>
        <v>20.36496</v>
      </c>
      <c r="I208" s="57"/>
      <c r="J208" s="57"/>
      <c r="K208" s="57"/>
      <c r="L208" s="57"/>
      <c r="M208" s="57">
        <f t="shared" si="27"/>
        <v>20.36496</v>
      </c>
      <c r="N208" s="60"/>
      <c r="O208" s="61"/>
      <c r="P208" s="62"/>
      <c r="Q208" s="63"/>
      <c r="R208" s="61"/>
      <c r="S208" s="71"/>
      <c r="AB208" s="4" t="s">
        <v>40</v>
      </c>
    </row>
    <row r="209" spans="1:28" s="70" customFormat="1" x14ac:dyDescent="0.25">
      <c r="A209" s="72"/>
      <c r="B209" s="68"/>
      <c r="C209" s="55" t="s">
        <v>72</v>
      </c>
      <c r="D209" s="55" t="s">
        <v>24</v>
      </c>
      <c r="E209" s="58">
        <f>290/100</f>
        <v>2.9</v>
      </c>
      <c r="F209" s="58">
        <f>E209*F204</f>
        <v>0.61248000000000002</v>
      </c>
      <c r="G209" s="57">
        <v>16</v>
      </c>
      <c r="H209" s="57">
        <f t="shared" si="28"/>
        <v>9.7996800000000004</v>
      </c>
      <c r="I209" s="57"/>
      <c r="J209" s="57"/>
      <c r="K209" s="57"/>
      <c r="L209" s="57"/>
      <c r="M209" s="57">
        <f t="shared" si="27"/>
        <v>9.7996800000000004</v>
      </c>
      <c r="N209" s="60"/>
      <c r="O209" s="61"/>
      <c r="P209" s="62"/>
      <c r="Q209" s="63"/>
      <c r="R209" s="61"/>
      <c r="S209" s="71"/>
      <c r="AB209" s="4" t="s">
        <v>40</v>
      </c>
    </row>
    <row r="210" spans="1:28" s="70" customFormat="1" x14ac:dyDescent="0.25">
      <c r="A210" s="72"/>
      <c r="B210" s="68"/>
      <c r="C210" s="55" t="s">
        <v>75</v>
      </c>
      <c r="D210" s="55" t="s">
        <v>67</v>
      </c>
      <c r="E210" s="58">
        <f>3.78/100</f>
        <v>3.78E-2</v>
      </c>
      <c r="F210" s="58">
        <f>E210*F196</f>
        <v>0.20328650999999995</v>
      </c>
      <c r="G210" s="57">
        <v>370</v>
      </c>
      <c r="H210" s="57">
        <f t="shared" si="28"/>
        <v>75.216008699999975</v>
      </c>
      <c r="I210" s="57"/>
      <c r="J210" s="57"/>
      <c r="K210" s="57"/>
      <c r="L210" s="57"/>
      <c r="M210" s="57">
        <f t="shared" si="27"/>
        <v>75.216008699999975</v>
      </c>
      <c r="N210" s="60"/>
      <c r="O210" s="61"/>
      <c r="P210" s="62"/>
      <c r="Q210" s="63"/>
      <c r="R210" s="61"/>
      <c r="S210" s="71"/>
      <c r="AB210" s="4" t="s">
        <v>40</v>
      </c>
    </row>
    <row r="211" spans="1:28" s="70" customFormat="1" x14ac:dyDescent="0.25">
      <c r="A211" s="72"/>
      <c r="B211" s="68"/>
      <c r="C211" s="55" t="s">
        <v>73</v>
      </c>
      <c r="D211" s="55" t="s">
        <v>70</v>
      </c>
      <c r="E211" s="58">
        <f>0.23/100</f>
        <v>2.3E-3</v>
      </c>
      <c r="F211" s="58">
        <f>E211*F204</f>
        <v>4.8576000000000007E-4</v>
      </c>
      <c r="G211" s="57">
        <v>3.1</v>
      </c>
      <c r="H211" s="57">
        <f t="shared" si="28"/>
        <v>1.5058560000000003E-3</v>
      </c>
      <c r="I211" s="57"/>
      <c r="J211" s="57"/>
      <c r="K211" s="57"/>
      <c r="L211" s="57"/>
      <c r="M211" s="58">
        <f t="shared" si="27"/>
        <v>1.5058560000000003E-3</v>
      </c>
      <c r="N211" s="60"/>
      <c r="O211" s="61"/>
      <c r="P211" s="62"/>
      <c r="Q211" s="63"/>
      <c r="R211" s="61"/>
      <c r="S211" s="71"/>
      <c r="AB211" s="4" t="s">
        <v>40</v>
      </c>
    </row>
    <row r="212" spans="1:28" s="70" customFormat="1" x14ac:dyDescent="0.25">
      <c r="A212" s="72"/>
      <c r="B212" s="73"/>
      <c r="C212" s="55" t="s">
        <v>74</v>
      </c>
      <c r="D212" s="55" t="s">
        <v>1</v>
      </c>
      <c r="E212" s="58">
        <f>95/100</f>
        <v>0.95</v>
      </c>
      <c r="F212" s="58">
        <f>F204*E212</f>
        <v>0.20064000000000001</v>
      </c>
      <c r="G212" s="57">
        <v>3.2</v>
      </c>
      <c r="H212" s="57">
        <f t="shared" si="28"/>
        <v>0.64204800000000006</v>
      </c>
      <c r="I212" s="57"/>
      <c r="J212" s="57"/>
      <c r="K212" s="57"/>
      <c r="L212" s="57"/>
      <c r="M212" s="57">
        <f t="shared" si="27"/>
        <v>0.64204800000000006</v>
      </c>
      <c r="N212" s="60"/>
      <c r="O212" s="61"/>
      <c r="P212" s="62"/>
      <c r="Q212" s="63"/>
      <c r="R212" s="61"/>
      <c r="S212" s="71"/>
      <c r="AB212" s="4" t="s">
        <v>40</v>
      </c>
    </row>
    <row r="213" spans="1:28" s="70" customFormat="1" ht="27" x14ac:dyDescent="0.25">
      <c r="A213" s="49" t="s">
        <v>39</v>
      </c>
      <c r="B213" s="68" t="s">
        <v>76</v>
      </c>
      <c r="C213" s="50" t="s">
        <v>159</v>
      </c>
      <c r="D213" s="48" t="s">
        <v>67</v>
      </c>
      <c r="E213" s="67"/>
      <c r="F213" s="48">
        <f>1*0.8*2.2*1.1</f>
        <v>1.9360000000000004</v>
      </c>
      <c r="G213" s="48"/>
      <c r="H213" s="48"/>
      <c r="I213" s="48"/>
      <c r="J213" s="48"/>
      <c r="K213" s="57"/>
      <c r="L213" s="57"/>
      <c r="M213" s="48"/>
      <c r="N213" s="60"/>
      <c r="O213" s="61"/>
      <c r="P213" s="62"/>
      <c r="Q213" s="74"/>
      <c r="R213" s="61"/>
      <c r="S213" s="75"/>
      <c r="AB213" s="4" t="s">
        <v>40</v>
      </c>
    </row>
    <row r="214" spans="1:28" s="70" customFormat="1" x14ac:dyDescent="0.25">
      <c r="A214" s="76"/>
      <c r="B214" s="68"/>
      <c r="C214" s="131" t="s">
        <v>77</v>
      </c>
      <c r="D214" s="77" t="s">
        <v>67</v>
      </c>
      <c r="E214" s="59">
        <v>1</v>
      </c>
      <c r="F214" s="59">
        <f>F213*E214</f>
        <v>1.9360000000000004</v>
      </c>
      <c r="G214" s="57"/>
      <c r="H214" s="57"/>
      <c r="I214" s="57">
        <v>75</v>
      </c>
      <c r="J214" s="57">
        <f>F214*I214</f>
        <v>145.20000000000002</v>
      </c>
      <c r="K214" s="57"/>
      <c r="L214" s="57"/>
      <c r="M214" s="57">
        <f t="shared" ref="M214" si="29">H214+J214+L214</f>
        <v>145.20000000000002</v>
      </c>
      <c r="N214" s="60"/>
      <c r="O214" s="61"/>
      <c r="P214" s="62"/>
      <c r="Q214" s="61"/>
      <c r="R214" s="61"/>
      <c r="AB214" s="4" t="s">
        <v>40</v>
      </c>
    </row>
    <row r="215" spans="1:28" s="70" customFormat="1" x14ac:dyDescent="0.25">
      <c r="A215" s="55"/>
      <c r="B215" s="68"/>
      <c r="C215" s="55" t="s">
        <v>18</v>
      </c>
      <c r="D215" s="57" t="s">
        <v>1</v>
      </c>
      <c r="E215" s="58">
        <v>3.35</v>
      </c>
      <c r="F215" s="57">
        <f>F213*E215</f>
        <v>6.4856000000000016</v>
      </c>
      <c r="G215" s="57"/>
      <c r="H215" s="57"/>
      <c r="I215" s="57"/>
      <c r="J215" s="57"/>
      <c r="K215" s="57">
        <v>3.2</v>
      </c>
      <c r="L215" s="57">
        <f>K215*F215</f>
        <v>20.753920000000008</v>
      </c>
      <c r="M215" s="57">
        <f>H215+J215+L215</f>
        <v>20.753920000000008</v>
      </c>
      <c r="N215" s="60"/>
      <c r="O215" s="61"/>
      <c r="P215" s="62"/>
      <c r="Q215" s="61"/>
      <c r="R215" s="61"/>
      <c r="AB215" s="4" t="s">
        <v>40</v>
      </c>
    </row>
    <row r="216" spans="1:28" s="104" customFormat="1" ht="27" x14ac:dyDescent="0.25">
      <c r="A216" s="49" t="s">
        <v>39</v>
      </c>
      <c r="B216" s="24" t="s">
        <v>115</v>
      </c>
      <c r="C216" s="32" t="s">
        <v>121</v>
      </c>
      <c r="D216" s="83" t="s">
        <v>24</v>
      </c>
      <c r="E216" s="25"/>
      <c r="F216" s="25">
        <f>0.9*2.2*1.1</f>
        <v>2.1780000000000004</v>
      </c>
      <c r="G216" s="79"/>
      <c r="H216" s="80"/>
      <c r="I216" s="57"/>
      <c r="J216" s="57"/>
      <c r="K216" s="80"/>
      <c r="L216" s="80"/>
      <c r="M216" s="57"/>
      <c r="N216" s="60"/>
      <c r="O216" s="61"/>
      <c r="P216" s="62"/>
      <c r="Q216" s="62"/>
      <c r="R216" s="61"/>
      <c r="S216" s="70"/>
      <c r="AB216" s="4" t="s">
        <v>40</v>
      </c>
    </row>
    <row r="217" spans="1:28" s="105" customFormat="1" x14ac:dyDescent="0.25">
      <c r="A217" s="87"/>
      <c r="B217" s="55"/>
      <c r="C217" s="30" t="s">
        <v>30</v>
      </c>
      <c r="D217" s="77" t="s">
        <v>24</v>
      </c>
      <c r="E217" s="58">
        <v>1</v>
      </c>
      <c r="F217" s="58">
        <f>F216*E217</f>
        <v>2.1780000000000004</v>
      </c>
      <c r="G217" s="57"/>
      <c r="H217" s="57"/>
      <c r="I217" s="57">
        <v>15</v>
      </c>
      <c r="J217" s="57">
        <f>F217*I217</f>
        <v>32.670000000000009</v>
      </c>
      <c r="K217" s="57"/>
      <c r="L217" s="57"/>
      <c r="M217" s="57">
        <f t="shared" ref="M217:M223" si="30">H217+J217+L217</f>
        <v>32.670000000000009</v>
      </c>
      <c r="N217" s="60"/>
      <c r="O217" s="61"/>
      <c r="P217" s="62"/>
      <c r="Q217" s="61"/>
      <c r="R217" s="61"/>
      <c r="S217" s="70"/>
      <c r="AB217" s="4" t="s">
        <v>40</v>
      </c>
    </row>
    <row r="218" spans="1:28" s="105" customFormat="1" x14ac:dyDescent="0.25">
      <c r="A218" s="87"/>
      <c r="B218" s="57"/>
      <c r="C218" s="30" t="s">
        <v>18</v>
      </c>
      <c r="D218" s="77" t="s">
        <v>1</v>
      </c>
      <c r="E218" s="58">
        <v>0.13</v>
      </c>
      <c r="F218" s="58">
        <f>F216*E218</f>
        <v>0.28314000000000006</v>
      </c>
      <c r="G218" s="57"/>
      <c r="H218" s="57"/>
      <c r="I218" s="57"/>
      <c r="J218" s="57"/>
      <c r="K218" s="57">
        <v>3.2</v>
      </c>
      <c r="L218" s="57">
        <f>F218*K218</f>
        <v>0.90604800000000019</v>
      </c>
      <c r="M218" s="57">
        <f t="shared" si="30"/>
        <v>0.90604800000000019</v>
      </c>
      <c r="N218" s="60"/>
      <c r="O218" s="61"/>
      <c r="P218" s="62"/>
      <c r="Q218" s="61"/>
      <c r="R218" s="61"/>
      <c r="S218" s="70"/>
      <c r="AB218" s="4" t="s">
        <v>40</v>
      </c>
    </row>
    <row r="219" spans="1:28" s="104" customFormat="1" x14ac:dyDescent="0.25">
      <c r="A219" s="87"/>
      <c r="B219" s="57"/>
      <c r="C219" s="30" t="s">
        <v>116</v>
      </c>
      <c r="D219" s="77" t="s">
        <v>24</v>
      </c>
      <c r="E219" s="58">
        <v>1</v>
      </c>
      <c r="F219" s="58">
        <f>F216*E219</f>
        <v>2.1780000000000004</v>
      </c>
      <c r="G219" s="57">
        <v>180</v>
      </c>
      <c r="H219" s="57">
        <f>F219*G219</f>
        <v>392.04000000000008</v>
      </c>
      <c r="I219" s="57"/>
      <c r="J219" s="57"/>
      <c r="K219" s="57"/>
      <c r="L219" s="57"/>
      <c r="M219" s="57">
        <f t="shared" si="30"/>
        <v>392.04000000000008</v>
      </c>
      <c r="N219" s="60"/>
      <c r="O219" s="61"/>
      <c r="P219" s="62"/>
      <c r="Q219" s="61"/>
      <c r="R219" s="61"/>
      <c r="S219" s="70"/>
      <c r="AB219" s="4" t="s">
        <v>40</v>
      </c>
    </row>
    <row r="220" spans="1:28" s="104" customFormat="1" x14ac:dyDescent="0.25">
      <c r="A220" s="87"/>
      <c r="B220" s="57"/>
      <c r="C220" s="30" t="s">
        <v>117</v>
      </c>
      <c r="D220" s="77" t="s">
        <v>28</v>
      </c>
      <c r="E220" s="58">
        <v>5.4</v>
      </c>
      <c r="F220" s="58">
        <f>F216*E220</f>
        <v>11.761200000000002</v>
      </c>
      <c r="G220" s="57">
        <v>3.8</v>
      </c>
      <c r="H220" s="57">
        <f>F220*G220</f>
        <v>44.692560000000007</v>
      </c>
      <c r="I220" s="57"/>
      <c r="J220" s="57"/>
      <c r="K220" s="57"/>
      <c r="L220" s="57"/>
      <c r="M220" s="57">
        <f t="shared" si="30"/>
        <v>44.692560000000007</v>
      </c>
      <c r="N220" s="60"/>
      <c r="O220" s="61"/>
      <c r="P220" s="62"/>
      <c r="Q220" s="61"/>
      <c r="R220" s="61"/>
      <c r="S220" s="70"/>
      <c r="AB220" s="4" t="s">
        <v>40</v>
      </c>
    </row>
    <row r="221" spans="1:28" s="105" customFormat="1" x14ac:dyDescent="0.25">
      <c r="A221" s="87"/>
      <c r="B221" s="57"/>
      <c r="C221" s="30" t="s">
        <v>118</v>
      </c>
      <c r="D221" s="55" t="s">
        <v>67</v>
      </c>
      <c r="E221" s="58">
        <v>8.0000000000000004E-4</v>
      </c>
      <c r="F221" s="58">
        <f>F216*E221</f>
        <v>1.7424000000000003E-3</v>
      </c>
      <c r="G221" s="57">
        <v>365</v>
      </c>
      <c r="H221" s="57">
        <f>F221*G221</f>
        <v>0.6359760000000001</v>
      </c>
      <c r="I221" s="57"/>
      <c r="J221" s="57"/>
      <c r="K221" s="57"/>
      <c r="L221" s="57"/>
      <c r="M221" s="57">
        <f t="shared" si="30"/>
        <v>0.6359760000000001</v>
      </c>
      <c r="N221" s="60"/>
      <c r="O221" s="61"/>
      <c r="P221" s="62"/>
      <c r="Q221" s="61"/>
      <c r="R221" s="61"/>
      <c r="S221" s="70"/>
      <c r="AB221" s="4" t="s">
        <v>40</v>
      </c>
    </row>
    <row r="222" spans="1:28" s="105" customFormat="1" x14ac:dyDescent="0.25">
      <c r="A222" s="87"/>
      <c r="B222" s="57"/>
      <c r="C222" s="55" t="s">
        <v>119</v>
      </c>
      <c r="D222" s="77" t="s">
        <v>120</v>
      </c>
      <c r="E222" s="58">
        <v>9.9999999999999994E-12</v>
      </c>
      <c r="F222" s="58">
        <v>1</v>
      </c>
      <c r="G222" s="57">
        <v>35</v>
      </c>
      <c r="H222" s="57">
        <f>F222*G222</f>
        <v>35</v>
      </c>
      <c r="I222" s="57"/>
      <c r="J222" s="57"/>
      <c r="K222" s="57"/>
      <c r="L222" s="57"/>
      <c r="M222" s="57">
        <f t="shared" si="30"/>
        <v>35</v>
      </c>
      <c r="N222" s="60"/>
      <c r="O222" s="61"/>
      <c r="P222" s="62"/>
      <c r="Q222" s="61"/>
      <c r="R222" s="61"/>
      <c r="S222" s="70"/>
      <c r="AB222" s="4" t="s">
        <v>40</v>
      </c>
    </row>
    <row r="223" spans="1:28" s="104" customFormat="1" x14ac:dyDescent="0.25">
      <c r="A223" s="87"/>
      <c r="B223" s="57"/>
      <c r="C223" s="55" t="s">
        <v>74</v>
      </c>
      <c r="D223" s="77" t="s">
        <v>1</v>
      </c>
      <c r="E223" s="58">
        <v>2.06E-2</v>
      </c>
      <c r="F223" s="58">
        <f>F216*E223</f>
        <v>4.4866800000000005E-2</v>
      </c>
      <c r="G223" s="57">
        <v>3.2</v>
      </c>
      <c r="H223" s="57">
        <f>F223*G223</f>
        <v>0.14357376000000002</v>
      </c>
      <c r="I223" s="57"/>
      <c r="J223" s="57"/>
      <c r="K223" s="57"/>
      <c r="L223" s="57"/>
      <c r="M223" s="57">
        <f t="shared" si="30"/>
        <v>0.14357376000000002</v>
      </c>
      <c r="N223" s="60"/>
      <c r="O223" s="61"/>
      <c r="P223" s="62"/>
      <c r="Q223" s="61"/>
      <c r="R223" s="61"/>
      <c r="S223" s="70"/>
      <c r="AB223" s="4" t="s">
        <v>40</v>
      </c>
    </row>
    <row r="224" spans="1:28" s="81" customFormat="1" ht="40.5" x14ac:dyDescent="0.25">
      <c r="A224" s="49" t="s">
        <v>39</v>
      </c>
      <c r="B224" s="68" t="s">
        <v>78</v>
      </c>
      <c r="C224" s="68" t="s">
        <v>160</v>
      </c>
      <c r="D224" s="83" t="s">
        <v>24</v>
      </c>
      <c r="E224" s="78"/>
      <c r="F224" s="78">
        <f>(2.2+2.2+1)*0.6*2*1.1+(1.5+1+1.5+1)*3.1*1.1</f>
        <v>24.178000000000001</v>
      </c>
      <c r="G224" s="79"/>
      <c r="H224" s="80"/>
      <c r="I224" s="57"/>
      <c r="J224" s="57"/>
      <c r="K224" s="80"/>
      <c r="L224" s="80"/>
      <c r="M224" s="57"/>
      <c r="N224" s="60"/>
      <c r="O224" s="61"/>
      <c r="P224" s="62"/>
      <c r="Q224" s="62"/>
      <c r="R224" s="61"/>
      <c r="S224" s="70"/>
      <c r="AB224" s="4" t="s">
        <v>40</v>
      </c>
    </row>
    <row r="225" spans="1:28" s="81" customFormat="1" x14ac:dyDescent="0.25">
      <c r="A225" s="77"/>
      <c r="B225" s="55"/>
      <c r="C225" s="55" t="s">
        <v>30</v>
      </c>
      <c r="D225" s="77" t="s">
        <v>24</v>
      </c>
      <c r="E225" s="31">
        <v>1</v>
      </c>
      <c r="F225" s="82">
        <f>E225*F224</f>
        <v>24.178000000000001</v>
      </c>
      <c r="G225" s="80"/>
      <c r="H225" s="80"/>
      <c r="I225" s="57">
        <v>8.5</v>
      </c>
      <c r="J225" s="57">
        <f>I225*F225</f>
        <v>205.51300000000001</v>
      </c>
      <c r="K225" s="80"/>
      <c r="L225" s="80"/>
      <c r="M225" s="57">
        <f>L225+J225+H225</f>
        <v>205.51300000000001</v>
      </c>
      <c r="N225" s="60"/>
      <c r="O225" s="61"/>
      <c r="P225" s="62"/>
      <c r="Q225" s="61"/>
      <c r="R225" s="61"/>
      <c r="S225" s="70"/>
      <c r="AB225" s="4" t="s">
        <v>40</v>
      </c>
    </row>
    <row r="226" spans="1:28" s="81" customFormat="1" x14ac:dyDescent="0.25">
      <c r="A226" s="77"/>
      <c r="B226" s="55"/>
      <c r="C226" s="55" t="s">
        <v>34</v>
      </c>
      <c r="D226" s="77" t="s">
        <v>1</v>
      </c>
      <c r="E226" s="82">
        <v>7.5999999999999998E-2</v>
      </c>
      <c r="F226" s="82">
        <f>E226*F224</f>
        <v>1.8375280000000001</v>
      </c>
      <c r="G226" s="80"/>
      <c r="H226" s="80"/>
      <c r="I226" s="57"/>
      <c r="J226" s="57"/>
      <c r="K226" s="80">
        <v>3.2</v>
      </c>
      <c r="L226" s="80">
        <f>K226*F226</f>
        <v>5.8800896000000007</v>
      </c>
      <c r="M226" s="57">
        <f>L226+J226+H226</f>
        <v>5.8800896000000007</v>
      </c>
      <c r="N226" s="60"/>
      <c r="O226" s="61"/>
      <c r="P226" s="62"/>
      <c r="Q226" s="61"/>
      <c r="R226" s="61"/>
      <c r="S226" s="70"/>
      <c r="AB226" s="4" t="s">
        <v>40</v>
      </c>
    </row>
    <row r="227" spans="1:28" s="81" customFormat="1" x14ac:dyDescent="0.25">
      <c r="A227" s="77"/>
      <c r="B227" s="55"/>
      <c r="C227" s="55" t="s">
        <v>80</v>
      </c>
      <c r="D227" s="55" t="s">
        <v>67</v>
      </c>
      <c r="E227" s="82">
        <v>4.3999999999999997E-2</v>
      </c>
      <c r="F227" s="82">
        <f>E227*F224</f>
        <v>1.0638319999999999</v>
      </c>
      <c r="G227" s="80">
        <v>90</v>
      </c>
      <c r="H227" s="80">
        <f>G227*F227</f>
        <v>95.744879999999995</v>
      </c>
      <c r="I227" s="57"/>
      <c r="J227" s="57"/>
      <c r="K227" s="80"/>
      <c r="L227" s="80"/>
      <c r="M227" s="57">
        <f>L227+J227+H227</f>
        <v>95.744879999999995</v>
      </c>
      <c r="N227" s="60"/>
      <c r="O227" s="61"/>
      <c r="P227" s="62"/>
      <c r="Q227" s="61"/>
      <c r="R227" s="61"/>
      <c r="S227" s="70"/>
      <c r="AB227" s="4" t="s">
        <v>40</v>
      </c>
    </row>
    <row r="228" spans="1:28" s="84" customFormat="1" ht="27" x14ac:dyDescent="0.25">
      <c r="A228" s="49" t="s">
        <v>39</v>
      </c>
      <c r="B228" s="83" t="s">
        <v>81</v>
      </c>
      <c r="C228" s="48" t="s">
        <v>156</v>
      </c>
      <c r="D228" s="83" t="s">
        <v>24</v>
      </c>
      <c r="E228" s="78"/>
      <c r="F228" s="78">
        <f>(2.2+2.2+1)*0.6*2*1.1+(1.5+1+1.5+1)*3.1*1.1</f>
        <v>24.178000000000001</v>
      </c>
      <c r="G228" s="79"/>
      <c r="H228" s="80"/>
      <c r="I228" s="79"/>
      <c r="J228" s="80"/>
      <c r="K228" s="79"/>
      <c r="L228" s="80"/>
      <c r="M228" s="80"/>
      <c r="N228" s="60"/>
      <c r="O228" s="61"/>
      <c r="P228" s="62"/>
      <c r="Q228" s="62"/>
      <c r="R228" s="61"/>
      <c r="S228" s="70"/>
      <c r="AB228" s="4" t="s">
        <v>40</v>
      </c>
    </row>
    <row r="229" spans="1:28" s="84" customFormat="1" x14ac:dyDescent="0.25">
      <c r="A229" s="77"/>
      <c r="B229" s="83"/>
      <c r="C229" s="55" t="s">
        <v>30</v>
      </c>
      <c r="D229" s="77" t="s">
        <v>24</v>
      </c>
      <c r="E229" s="82">
        <v>1</v>
      </c>
      <c r="F229" s="82">
        <f>E229*F228</f>
        <v>24.178000000000001</v>
      </c>
      <c r="G229" s="80"/>
      <c r="H229" s="80"/>
      <c r="I229" s="80">
        <v>6.25</v>
      </c>
      <c r="J229" s="80">
        <f>I229*F229</f>
        <v>151.11250000000001</v>
      </c>
      <c r="K229" s="80"/>
      <c r="L229" s="80"/>
      <c r="M229" s="80">
        <f>L229+J229+H229</f>
        <v>151.11250000000001</v>
      </c>
      <c r="N229" s="60"/>
      <c r="O229" s="61"/>
      <c r="P229" s="62"/>
      <c r="Q229" s="61"/>
      <c r="R229" s="61"/>
      <c r="S229" s="70"/>
      <c r="AB229" s="4" t="s">
        <v>40</v>
      </c>
    </row>
    <row r="230" spans="1:28" s="84" customFormat="1" x14ac:dyDescent="0.25">
      <c r="A230" s="77"/>
      <c r="B230" s="77"/>
      <c r="C230" s="55" t="s">
        <v>18</v>
      </c>
      <c r="D230" s="77" t="s">
        <v>1</v>
      </c>
      <c r="E230" s="82">
        <v>0.01</v>
      </c>
      <c r="F230" s="82">
        <f>E230*F228</f>
        <v>0.24178000000000002</v>
      </c>
      <c r="G230" s="80"/>
      <c r="H230" s="80"/>
      <c r="I230" s="80"/>
      <c r="J230" s="80"/>
      <c r="K230" s="80">
        <v>3.2</v>
      </c>
      <c r="L230" s="80">
        <f>K230*F230</f>
        <v>0.77369600000000016</v>
      </c>
      <c r="M230" s="80">
        <f>L230+J230+H230</f>
        <v>0.77369600000000016</v>
      </c>
      <c r="N230" s="60"/>
      <c r="O230" s="61"/>
      <c r="P230" s="62"/>
      <c r="Q230" s="61"/>
      <c r="R230" s="61"/>
      <c r="S230" s="70"/>
      <c r="AB230" s="4" t="s">
        <v>40</v>
      </c>
    </row>
    <row r="231" spans="1:28" s="84" customFormat="1" x14ac:dyDescent="0.25">
      <c r="A231" s="77"/>
      <c r="B231" s="77"/>
      <c r="C231" s="55" t="s">
        <v>84</v>
      </c>
      <c r="D231" s="77" t="s">
        <v>61</v>
      </c>
      <c r="E231" s="82">
        <v>0.63</v>
      </c>
      <c r="F231" s="82">
        <f>E231*F228</f>
        <v>15.232140000000001</v>
      </c>
      <c r="G231" s="80">
        <v>5.2</v>
      </c>
      <c r="H231" s="80">
        <f>G231*F231</f>
        <v>79.207128000000012</v>
      </c>
      <c r="I231" s="80"/>
      <c r="J231" s="80"/>
      <c r="K231" s="80"/>
      <c r="L231" s="80"/>
      <c r="M231" s="80">
        <f>L231+J231+H231</f>
        <v>79.207128000000012</v>
      </c>
      <c r="N231" s="60"/>
      <c r="O231" s="61"/>
      <c r="P231" s="62"/>
      <c r="Q231" s="61"/>
      <c r="R231" s="61"/>
      <c r="S231" s="70"/>
      <c r="AB231" s="4" t="s">
        <v>40</v>
      </c>
    </row>
    <row r="232" spans="1:28" s="84" customFormat="1" x14ac:dyDescent="0.25">
      <c r="A232" s="77"/>
      <c r="B232" s="77"/>
      <c r="C232" s="55" t="s">
        <v>107</v>
      </c>
      <c r="D232" s="77" t="s">
        <v>61</v>
      </c>
      <c r="E232" s="82">
        <v>0.79</v>
      </c>
      <c r="F232" s="82">
        <f>E232*F228</f>
        <v>19.100620000000003</v>
      </c>
      <c r="G232" s="80">
        <v>3.5</v>
      </c>
      <c r="H232" s="80">
        <f>G232*F232</f>
        <v>66.852170000000015</v>
      </c>
      <c r="I232" s="80"/>
      <c r="J232" s="80"/>
      <c r="K232" s="80"/>
      <c r="L232" s="80"/>
      <c r="M232" s="80">
        <f>L232+J232+H232</f>
        <v>66.852170000000015</v>
      </c>
      <c r="N232" s="60"/>
      <c r="O232" s="61"/>
      <c r="P232" s="62"/>
      <c r="Q232" s="61"/>
      <c r="R232" s="61"/>
      <c r="S232" s="70"/>
      <c r="AB232" s="4" t="s">
        <v>40</v>
      </c>
    </row>
    <row r="233" spans="1:28" s="84" customFormat="1" x14ac:dyDescent="0.25">
      <c r="A233" s="77"/>
      <c r="B233" s="77"/>
      <c r="C233" s="55" t="s">
        <v>43</v>
      </c>
      <c r="D233" s="77" t="s">
        <v>1</v>
      </c>
      <c r="E233" s="82">
        <v>1.6E-2</v>
      </c>
      <c r="F233" s="82">
        <f>E233*F228</f>
        <v>0.38684800000000003</v>
      </c>
      <c r="G233" s="80">
        <v>3.2</v>
      </c>
      <c r="H233" s="80">
        <f>G233*F233</f>
        <v>1.2379136000000002</v>
      </c>
      <c r="I233" s="80"/>
      <c r="J233" s="80"/>
      <c r="K233" s="80"/>
      <c r="L233" s="80"/>
      <c r="M233" s="80">
        <f>L233+J233+H233</f>
        <v>1.2379136000000002</v>
      </c>
      <c r="N233" s="60"/>
      <c r="O233" s="61"/>
      <c r="P233" s="62"/>
      <c r="Q233" s="61"/>
      <c r="R233" s="61"/>
      <c r="S233" s="70"/>
      <c r="AB233" s="4" t="s">
        <v>40</v>
      </c>
    </row>
    <row r="234" spans="1:28" s="70" customFormat="1" ht="27" x14ac:dyDescent="0.25">
      <c r="A234" s="49" t="s">
        <v>39</v>
      </c>
      <c r="B234" s="123" t="s">
        <v>161</v>
      </c>
      <c r="C234" s="132" t="s">
        <v>215</v>
      </c>
      <c r="D234" s="124" t="s">
        <v>67</v>
      </c>
      <c r="E234" s="125"/>
      <c r="F234" s="125">
        <f>4.9*3.25*1.1+0.4*2*1.1</f>
        <v>18.397500000000001</v>
      </c>
      <c r="G234" s="125"/>
      <c r="H234" s="80"/>
      <c r="I234" s="125"/>
      <c r="J234" s="80"/>
      <c r="K234" s="57"/>
      <c r="L234" s="80"/>
      <c r="M234" s="125"/>
      <c r="N234" s="60"/>
      <c r="O234" s="61"/>
      <c r="P234" s="62"/>
      <c r="Q234" s="63"/>
      <c r="R234" s="61"/>
      <c r="S234" s="71"/>
      <c r="AB234" s="4" t="s">
        <v>40</v>
      </c>
    </row>
    <row r="235" spans="1:28" s="70" customFormat="1" x14ac:dyDescent="0.25">
      <c r="A235" s="76"/>
      <c r="B235" s="123"/>
      <c r="C235" s="131" t="s">
        <v>77</v>
      </c>
      <c r="D235" s="77" t="s">
        <v>67</v>
      </c>
      <c r="E235" s="126">
        <v>1</v>
      </c>
      <c r="F235" s="127">
        <f>F234*E235</f>
        <v>18.397500000000001</v>
      </c>
      <c r="G235" s="127"/>
      <c r="H235" s="80"/>
      <c r="I235" s="57">
        <v>62.5</v>
      </c>
      <c r="J235" s="57">
        <f t="shared" ref="J235" si="31">I235*F235</f>
        <v>1149.84375</v>
      </c>
      <c r="K235" s="57"/>
      <c r="L235" s="80"/>
      <c r="M235" s="127">
        <f>H235+J235+L235</f>
        <v>1149.84375</v>
      </c>
      <c r="N235" s="60"/>
      <c r="O235" s="61"/>
      <c r="P235" s="62"/>
      <c r="Q235" s="111"/>
      <c r="R235" s="61"/>
      <c r="S235" s="128"/>
      <c r="AB235" s="4" t="s">
        <v>40</v>
      </c>
    </row>
    <row r="236" spans="1:28" s="70" customFormat="1" x14ac:dyDescent="0.25">
      <c r="A236" s="76"/>
      <c r="B236" s="124"/>
      <c r="C236" s="131" t="s">
        <v>34</v>
      </c>
      <c r="D236" s="129" t="s">
        <v>1</v>
      </c>
      <c r="E236" s="126">
        <v>1.8</v>
      </c>
      <c r="F236" s="127">
        <f>E236*F234</f>
        <v>33.115500000000004</v>
      </c>
      <c r="G236" s="127"/>
      <c r="H236" s="80"/>
      <c r="I236" s="127"/>
      <c r="J236" s="80"/>
      <c r="K236" s="57">
        <v>3.2</v>
      </c>
      <c r="L236" s="80">
        <f t="shared" ref="L236" si="32">K236*F236</f>
        <v>105.96960000000001</v>
      </c>
      <c r="M236" s="127">
        <f>H236+J236+L236</f>
        <v>105.96960000000001</v>
      </c>
      <c r="N236" s="60"/>
      <c r="O236" s="61"/>
      <c r="P236" s="62"/>
      <c r="Q236" s="111"/>
      <c r="R236" s="61"/>
      <c r="S236" s="128"/>
      <c r="AB236" s="4" t="s">
        <v>40</v>
      </c>
    </row>
    <row r="237" spans="1:28" s="70" customFormat="1" ht="40.5" x14ac:dyDescent="0.25">
      <c r="A237" s="49" t="s">
        <v>39</v>
      </c>
      <c r="B237" s="68" t="s">
        <v>162</v>
      </c>
      <c r="C237" s="68" t="s">
        <v>216</v>
      </c>
      <c r="D237" s="48" t="s">
        <v>67</v>
      </c>
      <c r="E237" s="67"/>
      <c r="F237" s="48">
        <f>6.2*3.25*0.2*1.1</f>
        <v>4.4330000000000007</v>
      </c>
      <c r="G237" s="79"/>
      <c r="H237" s="80"/>
      <c r="I237" s="57"/>
      <c r="J237" s="80"/>
      <c r="K237" s="80"/>
      <c r="L237" s="80"/>
      <c r="M237" s="57"/>
      <c r="N237" s="60"/>
      <c r="O237" s="61"/>
      <c r="P237" s="62"/>
      <c r="Q237" s="62"/>
      <c r="R237" s="61"/>
      <c r="S237" s="71"/>
      <c r="AB237" s="4" t="s">
        <v>40</v>
      </c>
    </row>
    <row r="238" spans="1:28" s="70" customFormat="1" x14ac:dyDescent="0.25">
      <c r="A238" s="55"/>
      <c r="B238" s="56"/>
      <c r="C238" s="55" t="s">
        <v>30</v>
      </c>
      <c r="D238" s="77" t="s">
        <v>67</v>
      </c>
      <c r="E238" s="58">
        <v>1</v>
      </c>
      <c r="F238" s="57">
        <f>F237*E238</f>
        <v>4.4330000000000007</v>
      </c>
      <c r="G238" s="30"/>
      <c r="H238" s="80"/>
      <c r="I238" s="30">
        <v>50</v>
      </c>
      <c r="J238" s="57">
        <f t="shared" ref="J238" si="33">I238*F238</f>
        <v>221.65000000000003</v>
      </c>
      <c r="K238" s="30"/>
      <c r="L238" s="80"/>
      <c r="M238" s="30">
        <f>H238+J238+L238</f>
        <v>221.65000000000003</v>
      </c>
      <c r="N238" s="60"/>
      <c r="O238" s="61"/>
      <c r="P238" s="62"/>
      <c r="Q238" s="63"/>
      <c r="R238" s="61"/>
      <c r="S238" s="71"/>
      <c r="AB238" s="4" t="s">
        <v>40</v>
      </c>
    </row>
    <row r="239" spans="1:28" s="70" customFormat="1" x14ac:dyDescent="0.25">
      <c r="A239" s="55"/>
      <c r="B239" s="73"/>
      <c r="C239" s="55" t="s">
        <v>141</v>
      </c>
      <c r="D239" s="57" t="s">
        <v>1</v>
      </c>
      <c r="E239" s="58">
        <v>0.92</v>
      </c>
      <c r="F239" s="57">
        <f>F237*E239</f>
        <v>4.0783600000000009</v>
      </c>
      <c r="G239" s="30"/>
      <c r="H239" s="80"/>
      <c r="I239" s="30"/>
      <c r="J239" s="80"/>
      <c r="K239" s="30">
        <v>3.2</v>
      </c>
      <c r="L239" s="80">
        <f t="shared" ref="L239" si="34">K239*F239</f>
        <v>13.050752000000003</v>
      </c>
      <c r="M239" s="30">
        <f>H239+J239+L239</f>
        <v>13.050752000000003</v>
      </c>
      <c r="N239" s="60"/>
      <c r="O239" s="61"/>
      <c r="P239" s="62"/>
      <c r="Q239" s="63"/>
      <c r="R239" s="61"/>
      <c r="S239" s="71"/>
      <c r="AB239" s="4" t="s">
        <v>40</v>
      </c>
    </row>
    <row r="240" spans="1:28" s="70" customFormat="1" x14ac:dyDescent="0.25">
      <c r="A240" s="55"/>
      <c r="B240" s="73"/>
      <c r="C240" s="55" t="s">
        <v>163</v>
      </c>
      <c r="D240" s="57" t="s">
        <v>67</v>
      </c>
      <c r="E240" s="58">
        <v>0.11</v>
      </c>
      <c r="F240" s="57">
        <f>F237*E240</f>
        <v>0.48763000000000006</v>
      </c>
      <c r="G240" s="30">
        <v>85</v>
      </c>
      <c r="H240" s="80">
        <f t="shared" ref="H240:H242" si="35">G240*F240</f>
        <v>41.448550000000004</v>
      </c>
      <c r="I240" s="30"/>
      <c r="J240" s="80"/>
      <c r="K240" s="30"/>
      <c r="L240" s="80"/>
      <c r="M240" s="30">
        <f>H240+J240+L240</f>
        <v>41.448550000000004</v>
      </c>
      <c r="N240" s="60"/>
      <c r="O240" s="61"/>
      <c r="P240" s="62"/>
      <c r="Q240" s="63"/>
      <c r="R240" s="61"/>
      <c r="S240" s="71"/>
      <c r="AB240" s="4" t="s">
        <v>40</v>
      </c>
    </row>
    <row r="241" spans="1:28" s="70" customFormat="1" x14ac:dyDescent="0.25">
      <c r="A241" s="55"/>
      <c r="B241" s="73"/>
      <c r="C241" s="55" t="s">
        <v>164</v>
      </c>
      <c r="D241" s="57" t="s">
        <v>67</v>
      </c>
      <c r="E241" s="58">
        <v>0.92</v>
      </c>
      <c r="F241" s="57">
        <f>F237*E241</f>
        <v>4.0783600000000009</v>
      </c>
      <c r="G241" s="30">
        <v>68.75</v>
      </c>
      <c r="H241" s="80">
        <f t="shared" si="35"/>
        <v>280.38725000000005</v>
      </c>
      <c r="I241" s="30"/>
      <c r="J241" s="80"/>
      <c r="K241" s="30"/>
      <c r="L241" s="80"/>
      <c r="M241" s="30">
        <f>H241+J241+L241</f>
        <v>280.38725000000005</v>
      </c>
      <c r="N241" s="60"/>
      <c r="O241" s="61"/>
      <c r="P241" s="62"/>
      <c r="Q241" s="63"/>
      <c r="R241" s="61"/>
      <c r="S241" s="71"/>
      <c r="AB241" s="4" t="s">
        <v>40</v>
      </c>
    </row>
    <row r="242" spans="1:28" s="70" customFormat="1" x14ac:dyDescent="0.25">
      <c r="A242" s="55"/>
      <c r="B242" s="73"/>
      <c r="C242" s="55" t="s">
        <v>74</v>
      </c>
      <c r="D242" s="57" t="s">
        <v>1</v>
      </c>
      <c r="E242" s="58">
        <v>0.16</v>
      </c>
      <c r="F242" s="57">
        <f>F237*E242</f>
        <v>0.70928000000000013</v>
      </c>
      <c r="G242" s="30">
        <v>3.2</v>
      </c>
      <c r="H242" s="80">
        <f t="shared" si="35"/>
        <v>2.2696960000000006</v>
      </c>
      <c r="I242" s="30"/>
      <c r="J242" s="80"/>
      <c r="K242" s="30"/>
      <c r="L242" s="80"/>
      <c r="M242" s="30">
        <f>H242+J242+L242</f>
        <v>2.2696960000000006</v>
      </c>
      <c r="N242" s="60"/>
      <c r="O242" s="61"/>
      <c r="P242" s="62"/>
      <c r="Q242" s="63"/>
      <c r="R242" s="61"/>
      <c r="S242" s="71"/>
      <c r="AB242" s="4" t="s">
        <v>40</v>
      </c>
    </row>
    <row r="243" spans="1:28" s="104" customFormat="1" ht="27" x14ac:dyDescent="0.25">
      <c r="A243" s="49" t="s">
        <v>39</v>
      </c>
      <c r="B243" s="24" t="s">
        <v>115</v>
      </c>
      <c r="C243" s="32" t="s">
        <v>165</v>
      </c>
      <c r="D243" s="83" t="s">
        <v>24</v>
      </c>
      <c r="E243" s="25"/>
      <c r="F243" s="25">
        <f>0.9*2.2*1.1</f>
        <v>2.1780000000000004</v>
      </c>
      <c r="G243" s="79"/>
      <c r="H243" s="80"/>
      <c r="I243" s="57"/>
      <c r="J243" s="57"/>
      <c r="K243" s="80"/>
      <c r="L243" s="80"/>
      <c r="M243" s="57"/>
      <c r="N243" s="60"/>
      <c r="O243" s="61"/>
      <c r="P243" s="62"/>
      <c r="Q243" s="62"/>
      <c r="R243" s="61"/>
      <c r="S243" s="70"/>
      <c r="AB243" s="4" t="s">
        <v>40</v>
      </c>
    </row>
    <row r="244" spans="1:28" s="105" customFormat="1" x14ac:dyDescent="0.25">
      <c r="A244" s="87"/>
      <c r="B244" s="55"/>
      <c r="C244" s="30" t="s">
        <v>30</v>
      </c>
      <c r="D244" s="77" t="s">
        <v>24</v>
      </c>
      <c r="E244" s="58">
        <v>1</v>
      </c>
      <c r="F244" s="58">
        <f>F243*E244</f>
        <v>2.1780000000000004</v>
      </c>
      <c r="G244" s="57"/>
      <c r="H244" s="57"/>
      <c r="I244" s="57">
        <v>15</v>
      </c>
      <c r="J244" s="57">
        <f>F244*I244</f>
        <v>32.670000000000009</v>
      </c>
      <c r="K244" s="57"/>
      <c r="L244" s="57"/>
      <c r="M244" s="57">
        <f t="shared" ref="M244:M250" si="36">H244+J244+L244</f>
        <v>32.670000000000009</v>
      </c>
      <c r="N244" s="60"/>
      <c r="O244" s="61"/>
      <c r="P244" s="62"/>
      <c r="Q244" s="61"/>
      <c r="R244" s="61"/>
      <c r="S244" s="70"/>
      <c r="AB244" s="4" t="s">
        <v>40</v>
      </c>
    </row>
    <row r="245" spans="1:28" s="105" customFormat="1" x14ac:dyDescent="0.25">
      <c r="A245" s="87"/>
      <c r="B245" s="57"/>
      <c r="C245" s="30" t="s">
        <v>18</v>
      </c>
      <c r="D245" s="77" t="s">
        <v>1</v>
      </c>
      <c r="E245" s="58">
        <v>0.13</v>
      </c>
      <c r="F245" s="58">
        <f>F243*E245</f>
        <v>0.28314000000000006</v>
      </c>
      <c r="G245" s="57"/>
      <c r="H245" s="57"/>
      <c r="I245" s="57"/>
      <c r="J245" s="57"/>
      <c r="K245" s="57">
        <v>3.2</v>
      </c>
      <c r="L245" s="57">
        <f>F245*K245</f>
        <v>0.90604800000000019</v>
      </c>
      <c r="M245" s="57">
        <f t="shared" si="36"/>
        <v>0.90604800000000019</v>
      </c>
      <c r="N245" s="60"/>
      <c r="O245" s="61"/>
      <c r="P245" s="62"/>
      <c r="Q245" s="61"/>
      <c r="R245" s="61"/>
      <c r="S245" s="70"/>
      <c r="AB245" s="4" t="s">
        <v>40</v>
      </c>
    </row>
    <row r="246" spans="1:28" s="104" customFormat="1" x14ac:dyDescent="0.25">
      <c r="A246" s="87"/>
      <c r="B246" s="57"/>
      <c r="C246" s="30" t="s">
        <v>116</v>
      </c>
      <c r="D246" s="77" t="s">
        <v>24</v>
      </c>
      <c r="E246" s="58">
        <v>1</v>
      </c>
      <c r="F246" s="58">
        <f>F243*E246</f>
        <v>2.1780000000000004</v>
      </c>
      <c r="G246" s="57">
        <v>180</v>
      </c>
      <c r="H246" s="57">
        <f>F246*G246</f>
        <v>392.04000000000008</v>
      </c>
      <c r="I246" s="57"/>
      <c r="J246" s="57"/>
      <c r="K246" s="57"/>
      <c r="L246" s="57"/>
      <c r="M246" s="57">
        <f t="shared" si="36"/>
        <v>392.04000000000008</v>
      </c>
      <c r="N246" s="60"/>
      <c r="O246" s="61"/>
      <c r="P246" s="62"/>
      <c r="Q246" s="61"/>
      <c r="R246" s="61"/>
      <c r="S246" s="70"/>
      <c r="AB246" s="4" t="s">
        <v>40</v>
      </c>
    </row>
    <row r="247" spans="1:28" s="104" customFormat="1" x14ac:dyDescent="0.25">
      <c r="A247" s="87"/>
      <c r="B247" s="57"/>
      <c r="C247" s="30" t="s">
        <v>117</v>
      </c>
      <c r="D247" s="77" t="s">
        <v>28</v>
      </c>
      <c r="E247" s="58">
        <v>5.4</v>
      </c>
      <c r="F247" s="58">
        <f>F243*E247</f>
        <v>11.761200000000002</v>
      </c>
      <c r="G247" s="57">
        <v>3.8</v>
      </c>
      <c r="H247" s="57">
        <f>F247*G247</f>
        <v>44.692560000000007</v>
      </c>
      <c r="I247" s="57"/>
      <c r="J247" s="57"/>
      <c r="K247" s="57"/>
      <c r="L247" s="57"/>
      <c r="M247" s="57">
        <f t="shared" si="36"/>
        <v>44.692560000000007</v>
      </c>
      <c r="N247" s="60"/>
      <c r="O247" s="61"/>
      <c r="P247" s="62"/>
      <c r="Q247" s="61"/>
      <c r="R247" s="61"/>
      <c r="S247" s="70"/>
      <c r="AB247" s="4" t="s">
        <v>40</v>
      </c>
    </row>
    <row r="248" spans="1:28" s="105" customFormat="1" x14ac:dyDescent="0.25">
      <c r="A248" s="87"/>
      <c r="B248" s="57"/>
      <c r="C248" s="30" t="s">
        <v>118</v>
      </c>
      <c r="D248" s="55" t="s">
        <v>67</v>
      </c>
      <c r="E248" s="58">
        <v>8.0000000000000004E-4</v>
      </c>
      <c r="F248" s="58">
        <f>F243*E248</f>
        <v>1.7424000000000003E-3</v>
      </c>
      <c r="G248" s="57">
        <v>365</v>
      </c>
      <c r="H248" s="57">
        <f>F248*G248</f>
        <v>0.6359760000000001</v>
      </c>
      <c r="I248" s="57"/>
      <c r="J248" s="57"/>
      <c r="K248" s="57"/>
      <c r="L248" s="57"/>
      <c r="M248" s="57">
        <f t="shared" si="36"/>
        <v>0.6359760000000001</v>
      </c>
      <c r="N248" s="60"/>
      <c r="O248" s="61"/>
      <c r="P248" s="62"/>
      <c r="Q248" s="61"/>
      <c r="R248" s="61"/>
      <c r="S248" s="70"/>
      <c r="AB248" s="4" t="s">
        <v>40</v>
      </c>
    </row>
    <row r="249" spans="1:28" s="105" customFormat="1" x14ac:dyDescent="0.25">
      <c r="A249" s="87"/>
      <c r="B249" s="57"/>
      <c r="C249" s="55" t="s">
        <v>119</v>
      </c>
      <c r="D249" s="77" t="s">
        <v>120</v>
      </c>
      <c r="E249" s="58">
        <v>9.9999999999999994E-12</v>
      </c>
      <c r="F249" s="58">
        <v>1</v>
      </c>
      <c r="G249" s="57">
        <v>35</v>
      </c>
      <c r="H249" s="57">
        <f>F249*G249</f>
        <v>35</v>
      </c>
      <c r="I249" s="57"/>
      <c r="J249" s="57"/>
      <c r="K249" s="57"/>
      <c r="L249" s="57"/>
      <c r="M249" s="57">
        <f t="shared" si="36"/>
        <v>35</v>
      </c>
      <c r="N249" s="60"/>
      <c r="O249" s="61"/>
      <c r="P249" s="62"/>
      <c r="Q249" s="61"/>
      <c r="R249" s="61"/>
      <c r="S249" s="70"/>
      <c r="AB249" s="4" t="s">
        <v>40</v>
      </c>
    </row>
    <row r="250" spans="1:28" s="104" customFormat="1" x14ac:dyDescent="0.25">
      <c r="A250" s="87"/>
      <c r="B250" s="57"/>
      <c r="C250" s="55" t="s">
        <v>74</v>
      </c>
      <c r="D250" s="77" t="s">
        <v>1</v>
      </c>
      <c r="E250" s="58">
        <v>2.06E-2</v>
      </c>
      <c r="F250" s="58">
        <f>F243*E250</f>
        <v>4.4866800000000005E-2</v>
      </c>
      <c r="G250" s="57">
        <v>3.2</v>
      </c>
      <c r="H250" s="57">
        <f>F250*G250</f>
        <v>0.14357376000000002</v>
      </c>
      <c r="I250" s="57"/>
      <c r="J250" s="57"/>
      <c r="K250" s="57"/>
      <c r="L250" s="57"/>
      <c r="M250" s="57">
        <f t="shared" si="36"/>
        <v>0.14357376000000002</v>
      </c>
      <c r="N250" s="60"/>
      <c r="O250" s="61"/>
      <c r="P250" s="62"/>
      <c r="Q250" s="61"/>
      <c r="R250" s="61"/>
      <c r="S250" s="70"/>
      <c r="AB250" s="4" t="s">
        <v>40</v>
      </c>
    </row>
    <row r="251" spans="1:28" s="70" customFormat="1" ht="40.5" x14ac:dyDescent="0.25">
      <c r="A251" s="49" t="s">
        <v>39</v>
      </c>
      <c r="B251" s="68" t="s">
        <v>162</v>
      </c>
      <c r="C251" s="68" t="s">
        <v>217</v>
      </c>
      <c r="D251" s="48" t="s">
        <v>67</v>
      </c>
      <c r="E251" s="67"/>
      <c r="F251" s="48">
        <f>0.2*1.35*3.25*1.1</f>
        <v>0.96525000000000016</v>
      </c>
      <c r="G251" s="79"/>
      <c r="H251" s="80"/>
      <c r="I251" s="57"/>
      <c r="J251" s="80"/>
      <c r="K251" s="80"/>
      <c r="L251" s="80"/>
      <c r="M251" s="57"/>
      <c r="N251" s="60"/>
      <c r="O251" s="61"/>
      <c r="P251" s="62"/>
      <c r="Q251" s="62"/>
      <c r="R251" s="61"/>
      <c r="S251" s="71"/>
      <c r="AB251" s="4" t="s">
        <v>40</v>
      </c>
    </row>
    <row r="252" spans="1:28" s="70" customFormat="1" x14ac:dyDescent="0.25">
      <c r="A252" s="55"/>
      <c r="B252" s="56"/>
      <c r="C252" s="55" t="s">
        <v>30</v>
      </c>
      <c r="D252" s="77" t="s">
        <v>67</v>
      </c>
      <c r="E252" s="58">
        <v>3.36</v>
      </c>
      <c r="F252" s="57">
        <f>F251*E252</f>
        <v>3.2432400000000006</v>
      </c>
      <c r="G252" s="30"/>
      <c r="H252" s="80"/>
      <c r="I252" s="30">
        <v>50</v>
      </c>
      <c r="J252" s="57">
        <f t="shared" ref="J252" si="37">I252*F252</f>
        <v>162.16200000000003</v>
      </c>
      <c r="K252" s="30"/>
      <c r="L252" s="80"/>
      <c r="M252" s="30">
        <f>H252+J252+L252</f>
        <v>162.16200000000003</v>
      </c>
      <c r="N252" s="60"/>
      <c r="O252" s="61"/>
      <c r="P252" s="62"/>
      <c r="Q252" s="63"/>
      <c r="R252" s="61"/>
      <c r="S252" s="71"/>
      <c r="AB252" s="4" t="s">
        <v>40</v>
      </c>
    </row>
    <row r="253" spans="1:28" s="70" customFormat="1" x14ac:dyDescent="0.25">
      <c r="A253" s="55"/>
      <c r="B253" s="73"/>
      <c r="C253" s="55" t="s">
        <v>141</v>
      </c>
      <c r="D253" s="57" t="s">
        <v>1</v>
      </c>
      <c r="E253" s="58">
        <v>0.92</v>
      </c>
      <c r="F253" s="57">
        <f>F251*E253</f>
        <v>0.88803000000000021</v>
      </c>
      <c r="G253" s="30"/>
      <c r="H253" s="80"/>
      <c r="I253" s="30"/>
      <c r="J253" s="80"/>
      <c r="K253" s="30">
        <v>3.2</v>
      </c>
      <c r="L253" s="80">
        <f t="shared" ref="L253" si="38">K253*F253</f>
        <v>2.8416960000000007</v>
      </c>
      <c r="M253" s="30">
        <f>H253+J253+L253</f>
        <v>2.8416960000000007</v>
      </c>
      <c r="N253" s="60"/>
      <c r="O253" s="61"/>
      <c r="P253" s="62"/>
      <c r="Q253" s="63"/>
      <c r="R253" s="61"/>
      <c r="S253" s="71"/>
      <c r="AB253" s="4" t="s">
        <v>40</v>
      </c>
    </row>
    <row r="254" spans="1:28" s="70" customFormat="1" x14ac:dyDescent="0.25">
      <c r="A254" s="55"/>
      <c r="B254" s="73"/>
      <c r="C254" s="55" t="s">
        <v>163</v>
      </c>
      <c r="D254" s="57" t="s">
        <v>67</v>
      </c>
      <c r="E254" s="58">
        <v>0.11</v>
      </c>
      <c r="F254" s="57">
        <f>F251*E254</f>
        <v>0.10617750000000002</v>
      </c>
      <c r="G254" s="30">
        <v>85</v>
      </c>
      <c r="H254" s="80">
        <f t="shared" ref="H254:H256" si="39">G254*F254</f>
        <v>9.0250875000000015</v>
      </c>
      <c r="I254" s="30"/>
      <c r="J254" s="80"/>
      <c r="K254" s="30"/>
      <c r="L254" s="80"/>
      <c r="M254" s="30">
        <f>H254+J254+L254</f>
        <v>9.0250875000000015</v>
      </c>
      <c r="N254" s="60"/>
      <c r="O254" s="61"/>
      <c r="P254" s="62"/>
      <c r="Q254" s="63"/>
      <c r="R254" s="61"/>
      <c r="S254" s="71"/>
      <c r="AB254" s="4" t="s">
        <v>40</v>
      </c>
    </row>
    <row r="255" spans="1:28" s="70" customFormat="1" x14ac:dyDescent="0.25">
      <c r="A255" s="55"/>
      <c r="B255" s="73"/>
      <c r="C255" s="55" t="s">
        <v>164</v>
      </c>
      <c r="D255" s="57" t="s">
        <v>67</v>
      </c>
      <c r="E255" s="58">
        <v>0.92</v>
      </c>
      <c r="F255" s="57">
        <f>F251*E255</f>
        <v>0.88803000000000021</v>
      </c>
      <c r="G255" s="30">
        <v>68.75</v>
      </c>
      <c r="H255" s="80">
        <f t="shared" si="39"/>
        <v>61.052062500000012</v>
      </c>
      <c r="I255" s="30"/>
      <c r="J255" s="80"/>
      <c r="K255" s="30"/>
      <c r="L255" s="80"/>
      <c r="M255" s="30">
        <f>H255+J255+L255</f>
        <v>61.052062500000012</v>
      </c>
      <c r="N255" s="60"/>
      <c r="O255" s="61"/>
      <c r="P255" s="62"/>
      <c r="Q255" s="63"/>
      <c r="R255" s="61"/>
      <c r="S255" s="71"/>
      <c r="AB255" s="4" t="s">
        <v>40</v>
      </c>
    </row>
    <row r="256" spans="1:28" s="70" customFormat="1" x14ac:dyDescent="0.25">
      <c r="A256" s="55"/>
      <c r="B256" s="73"/>
      <c r="C256" s="55" t="s">
        <v>74</v>
      </c>
      <c r="D256" s="57" t="s">
        <v>1</v>
      </c>
      <c r="E256" s="58">
        <v>0.16</v>
      </c>
      <c r="F256" s="57">
        <f>F251*E256</f>
        <v>0.15444000000000002</v>
      </c>
      <c r="G256" s="30">
        <v>3.2</v>
      </c>
      <c r="H256" s="80">
        <f t="shared" si="39"/>
        <v>0.49420800000000009</v>
      </c>
      <c r="I256" s="30"/>
      <c r="J256" s="80"/>
      <c r="K256" s="30"/>
      <c r="L256" s="80"/>
      <c r="M256" s="30">
        <f>H256+J256+L256</f>
        <v>0.49420800000000009</v>
      </c>
      <c r="N256" s="60"/>
      <c r="O256" s="61"/>
      <c r="P256" s="62"/>
      <c r="Q256" s="63"/>
      <c r="R256" s="61"/>
      <c r="S256" s="71"/>
      <c r="AB256" s="4" t="s">
        <v>40</v>
      </c>
    </row>
    <row r="257" spans="1:28" s="65" customFormat="1" x14ac:dyDescent="0.25">
      <c r="A257" s="49" t="s">
        <v>39</v>
      </c>
      <c r="B257" s="48" t="s">
        <v>166</v>
      </c>
      <c r="C257" s="68" t="s">
        <v>174</v>
      </c>
      <c r="D257" s="83" t="s">
        <v>70</v>
      </c>
      <c r="E257" s="67"/>
      <c r="F257" s="67">
        <f>2*1.7*4*0.025*2</f>
        <v>0.68</v>
      </c>
      <c r="G257" s="79"/>
      <c r="H257" s="80"/>
      <c r="I257" s="57"/>
      <c r="J257" s="80"/>
      <c r="K257" s="80"/>
      <c r="L257" s="80"/>
      <c r="M257" s="57"/>
      <c r="N257" s="60"/>
      <c r="O257" s="61"/>
      <c r="P257" s="62"/>
      <c r="Q257" s="62"/>
      <c r="R257" s="61"/>
      <c r="S257" s="70"/>
      <c r="AB257" s="4" t="s">
        <v>40</v>
      </c>
    </row>
    <row r="258" spans="1:28" s="65" customFormat="1" x14ac:dyDescent="0.25">
      <c r="A258" s="87"/>
      <c r="B258" s="57"/>
      <c r="C258" s="57" t="s">
        <v>169</v>
      </c>
      <c r="D258" s="77" t="s">
        <v>70</v>
      </c>
      <c r="E258" s="58">
        <v>1</v>
      </c>
      <c r="F258" s="58">
        <f>F257*E258</f>
        <v>0.68</v>
      </c>
      <c r="G258" s="57"/>
      <c r="H258" s="80"/>
      <c r="I258" s="57">
        <v>250</v>
      </c>
      <c r="J258" s="57">
        <f>I258*F258</f>
        <v>170</v>
      </c>
      <c r="K258" s="57"/>
      <c r="L258" s="80"/>
      <c r="M258" s="57">
        <f>H258+J258+L258</f>
        <v>170</v>
      </c>
      <c r="N258" s="60"/>
      <c r="O258" s="61"/>
      <c r="P258" s="62"/>
      <c r="Q258" s="130"/>
      <c r="R258" s="61"/>
      <c r="S258" s="70"/>
      <c r="AB258" s="4" t="s">
        <v>40</v>
      </c>
    </row>
    <row r="259" spans="1:28" s="65" customFormat="1" x14ac:dyDescent="0.25">
      <c r="A259" s="87"/>
      <c r="B259" s="57"/>
      <c r="C259" s="57" t="s">
        <v>170</v>
      </c>
      <c r="D259" s="77" t="s">
        <v>1</v>
      </c>
      <c r="E259" s="58">
        <f>4.07*0.7</f>
        <v>2.8490000000000002</v>
      </c>
      <c r="F259" s="58">
        <f>F257*E259</f>
        <v>1.9373200000000004</v>
      </c>
      <c r="G259" s="57"/>
      <c r="H259" s="80"/>
      <c r="I259" s="57"/>
      <c r="J259" s="80"/>
      <c r="K259" s="57">
        <v>3.2</v>
      </c>
      <c r="L259" s="80">
        <f>K259*F259</f>
        <v>6.1994240000000014</v>
      </c>
      <c r="M259" s="57">
        <f>H259+J259+L259</f>
        <v>6.1994240000000014</v>
      </c>
      <c r="N259" s="60"/>
      <c r="O259" s="61"/>
      <c r="P259" s="62"/>
      <c r="Q259" s="130"/>
      <c r="R259" s="61"/>
      <c r="S259" s="70"/>
      <c r="AB259" s="4" t="s">
        <v>40</v>
      </c>
    </row>
    <row r="260" spans="1:28" s="65" customFormat="1" x14ac:dyDescent="0.25">
      <c r="A260" s="87"/>
      <c r="B260" s="57"/>
      <c r="C260" s="55" t="s">
        <v>171</v>
      </c>
      <c r="D260" s="77" t="s">
        <v>61</v>
      </c>
      <c r="E260" s="58">
        <f>3.3*0.5</f>
        <v>1.65</v>
      </c>
      <c r="F260" s="58">
        <f>F257*E260</f>
        <v>1.1220000000000001</v>
      </c>
      <c r="G260" s="57">
        <v>2.5</v>
      </c>
      <c r="H260" s="80">
        <f>G260*F260</f>
        <v>2.8050000000000002</v>
      </c>
      <c r="I260" s="57"/>
      <c r="J260" s="80"/>
      <c r="K260" s="57"/>
      <c r="L260" s="80"/>
      <c r="M260" s="57">
        <f>H260+J260+L260</f>
        <v>2.8050000000000002</v>
      </c>
      <c r="N260" s="60"/>
      <c r="O260" s="61"/>
      <c r="P260" s="62"/>
      <c r="Q260" s="130"/>
      <c r="R260" s="61"/>
      <c r="S260" s="70"/>
      <c r="AB260" s="4" t="s">
        <v>40</v>
      </c>
    </row>
    <row r="261" spans="1:28" s="65" customFormat="1" x14ac:dyDescent="0.25">
      <c r="A261" s="87"/>
      <c r="B261" s="57"/>
      <c r="C261" s="55" t="s">
        <v>172</v>
      </c>
      <c r="D261" s="77" t="s">
        <v>61</v>
      </c>
      <c r="E261" s="58">
        <f>15.2*0.5</f>
        <v>7.6</v>
      </c>
      <c r="F261" s="58">
        <f>F257*E261</f>
        <v>5.1680000000000001</v>
      </c>
      <c r="G261" s="57">
        <v>2.83</v>
      </c>
      <c r="H261" s="80">
        <f>G261*F261</f>
        <v>14.625440000000001</v>
      </c>
      <c r="I261" s="57"/>
      <c r="J261" s="80"/>
      <c r="K261" s="57"/>
      <c r="L261" s="80"/>
      <c r="M261" s="57">
        <f>H261+J261+L261</f>
        <v>14.625440000000001</v>
      </c>
      <c r="N261" s="60"/>
      <c r="O261" s="61"/>
      <c r="P261" s="62"/>
      <c r="Q261" s="130"/>
      <c r="R261" s="61"/>
      <c r="S261" s="70"/>
      <c r="AB261" s="4" t="s">
        <v>40</v>
      </c>
    </row>
    <row r="262" spans="1:28" s="65" customFormat="1" x14ac:dyDescent="0.25">
      <c r="A262" s="87"/>
      <c r="B262" s="57"/>
      <c r="C262" s="55" t="s">
        <v>173</v>
      </c>
      <c r="D262" s="77" t="s">
        <v>1</v>
      </c>
      <c r="E262" s="58">
        <f>2.78*0.5</f>
        <v>1.39</v>
      </c>
      <c r="F262" s="58">
        <f>F257*E262</f>
        <v>0.94520000000000004</v>
      </c>
      <c r="G262" s="57">
        <v>3.2</v>
      </c>
      <c r="H262" s="80">
        <f>G262*F262</f>
        <v>3.0246400000000002</v>
      </c>
      <c r="I262" s="57"/>
      <c r="J262" s="80"/>
      <c r="K262" s="57"/>
      <c r="L262" s="80"/>
      <c r="M262" s="57">
        <f>H262+J262+L262</f>
        <v>3.0246400000000002</v>
      </c>
      <c r="N262" s="60"/>
      <c r="O262" s="61"/>
      <c r="P262" s="62"/>
      <c r="Q262" s="130"/>
      <c r="R262" s="61"/>
      <c r="S262" s="70"/>
      <c r="AB262" s="4" t="s">
        <v>40</v>
      </c>
    </row>
    <row r="263" spans="1:28" s="101" customFormat="1" x14ac:dyDescent="0.25">
      <c r="A263" s="49" t="s">
        <v>39</v>
      </c>
      <c r="B263" s="48" t="s">
        <v>166</v>
      </c>
      <c r="C263" s="48" t="s">
        <v>175</v>
      </c>
      <c r="D263" s="83" t="s">
        <v>70</v>
      </c>
      <c r="E263" s="67"/>
      <c r="F263" s="67">
        <f>2*1.7*4*0.025*2</f>
        <v>0.68</v>
      </c>
      <c r="G263" s="79"/>
      <c r="H263" s="80"/>
      <c r="I263" s="57"/>
      <c r="J263" s="80"/>
      <c r="K263" s="80"/>
      <c r="L263" s="80"/>
      <c r="M263" s="57"/>
      <c r="N263" s="60"/>
      <c r="O263" s="61"/>
      <c r="P263" s="62"/>
      <c r="Q263" s="62"/>
      <c r="R263" s="61"/>
      <c r="S263" s="70"/>
      <c r="AB263" s="4" t="s">
        <v>40</v>
      </c>
    </row>
    <row r="264" spans="1:28" s="101" customFormat="1" x14ac:dyDescent="0.25">
      <c r="A264" s="87"/>
      <c r="B264" s="57"/>
      <c r="C264" s="57" t="s">
        <v>30</v>
      </c>
      <c r="D264" s="77" t="s">
        <v>70</v>
      </c>
      <c r="E264" s="58">
        <v>1</v>
      </c>
      <c r="F264" s="58">
        <f>F263*E264</f>
        <v>0.68</v>
      </c>
      <c r="G264" s="57"/>
      <c r="H264" s="80"/>
      <c r="I264" s="57">
        <v>500</v>
      </c>
      <c r="J264" s="57">
        <f t="shared" ref="J264" si="40">I264*F264</f>
        <v>340</v>
      </c>
      <c r="K264" s="57"/>
      <c r="L264" s="80"/>
      <c r="M264" s="57">
        <f t="shared" ref="M264:M269" si="41">H264+J264+L264</f>
        <v>340</v>
      </c>
      <c r="N264" s="60"/>
      <c r="O264" s="61"/>
      <c r="P264" s="62"/>
      <c r="Q264" s="130"/>
      <c r="R264" s="61"/>
      <c r="S264" s="70"/>
      <c r="AB264" s="4" t="s">
        <v>40</v>
      </c>
    </row>
    <row r="265" spans="1:28" s="101" customFormat="1" x14ac:dyDescent="0.25">
      <c r="A265" s="87"/>
      <c r="B265" s="57"/>
      <c r="C265" s="57" t="s">
        <v>34</v>
      </c>
      <c r="D265" s="77" t="s">
        <v>1</v>
      </c>
      <c r="E265" s="58">
        <v>4.07</v>
      </c>
      <c r="F265" s="58">
        <f>F263*E265</f>
        <v>2.7676000000000003</v>
      </c>
      <c r="G265" s="57"/>
      <c r="H265" s="80"/>
      <c r="I265" s="57"/>
      <c r="J265" s="80"/>
      <c r="K265" s="57">
        <v>3.2</v>
      </c>
      <c r="L265" s="80">
        <f t="shared" ref="L265" si="42">K265*F265</f>
        <v>8.856320000000002</v>
      </c>
      <c r="M265" s="57">
        <f t="shared" si="41"/>
        <v>8.856320000000002</v>
      </c>
      <c r="N265" s="60"/>
      <c r="O265" s="61"/>
      <c r="P265" s="62"/>
      <c r="Q265" s="130"/>
      <c r="R265" s="61"/>
      <c r="S265" s="70"/>
      <c r="AB265" s="4" t="s">
        <v>40</v>
      </c>
    </row>
    <row r="266" spans="1:28" s="101" customFormat="1" x14ac:dyDescent="0.25">
      <c r="A266" s="87"/>
      <c r="B266" s="57"/>
      <c r="C266" s="55" t="s">
        <v>167</v>
      </c>
      <c r="D266" s="77" t="s">
        <v>24</v>
      </c>
      <c r="E266" s="58">
        <v>1</v>
      </c>
      <c r="F266" s="58">
        <f>F263*E266</f>
        <v>0.68</v>
      </c>
      <c r="G266" s="57">
        <v>60</v>
      </c>
      <c r="H266" s="80">
        <f t="shared" ref="H266:H269" si="43">G266*F266</f>
        <v>40.800000000000004</v>
      </c>
      <c r="I266" s="57"/>
      <c r="J266" s="80"/>
      <c r="K266" s="57"/>
      <c r="L266" s="80"/>
      <c r="M266" s="57">
        <f t="shared" si="41"/>
        <v>40.800000000000004</v>
      </c>
      <c r="N266" s="60"/>
      <c r="O266" s="61"/>
      <c r="P266" s="62"/>
      <c r="Q266" s="130"/>
      <c r="R266" s="61"/>
      <c r="S266" s="70"/>
      <c r="AB266" s="4" t="s">
        <v>40</v>
      </c>
    </row>
    <row r="267" spans="1:28" s="101" customFormat="1" x14ac:dyDescent="0.25">
      <c r="A267" s="87"/>
      <c r="B267" s="57"/>
      <c r="C267" s="55" t="s">
        <v>168</v>
      </c>
      <c r="D267" s="77" t="s">
        <v>61</v>
      </c>
      <c r="E267" s="58">
        <v>3.3</v>
      </c>
      <c r="F267" s="58">
        <f>F263*E267</f>
        <v>2.2440000000000002</v>
      </c>
      <c r="G267" s="57">
        <v>2.5</v>
      </c>
      <c r="H267" s="80">
        <f t="shared" si="43"/>
        <v>5.61</v>
      </c>
      <c r="I267" s="57"/>
      <c r="J267" s="80"/>
      <c r="K267" s="57"/>
      <c r="L267" s="80"/>
      <c r="M267" s="57">
        <f t="shared" si="41"/>
        <v>5.61</v>
      </c>
      <c r="N267" s="60"/>
      <c r="O267" s="61"/>
      <c r="P267" s="62"/>
      <c r="Q267" s="130"/>
      <c r="R267" s="61"/>
      <c r="S267" s="70"/>
      <c r="AB267" s="4" t="s">
        <v>40</v>
      </c>
    </row>
    <row r="268" spans="1:28" s="65" customFormat="1" x14ac:dyDescent="0.25">
      <c r="A268" s="87"/>
      <c r="B268" s="57"/>
      <c r="C268" s="55" t="s">
        <v>73</v>
      </c>
      <c r="D268" s="77" t="s">
        <v>61</v>
      </c>
      <c r="E268" s="58">
        <v>15.2</v>
      </c>
      <c r="F268" s="58">
        <f>F263*E268</f>
        <v>10.336</v>
      </c>
      <c r="G268" s="57">
        <v>2.83</v>
      </c>
      <c r="H268" s="80">
        <f t="shared" si="43"/>
        <v>29.250880000000002</v>
      </c>
      <c r="I268" s="57"/>
      <c r="J268" s="80"/>
      <c r="K268" s="57"/>
      <c r="L268" s="80"/>
      <c r="M268" s="57">
        <f t="shared" si="41"/>
        <v>29.250880000000002</v>
      </c>
      <c r="N268" s="60"/>
      <c r="O268" s="61"/>
      <c r="P268" s="62"/>
      <c r="Q268" s="130"/>
      <c r="R268" s="61"/>
      <c r="S268" s="70"/>
      <c r="AB268" s="4" t="s">
        <v>40</v>
      </c>
    </row>
    <row r="269" spans="1:28" s="65" customFormat="1" x14ac:dyDescent="0.25">
      <c r="A269" s="87"/>
      <c r="B269" s="57"/>
      <c r="C269" s="55" t="s">
        <v>74</v>
      </c>
      <c r="D269" s="77" t="s">
        <v>1</v>
      </c>
      <c r="E269" s="58">
        <v>2.78</v>
      </c>
      <c r="F269" s="58">
        <f>F263*E269</f>
        <v>1.8904000000000001</v>
      </c>
      <c r="G269" s="57">
        <v>3.2</v>
      </c>
      <c r="H269" s="80">
        <f t="shared" si="43"/>
        <v>6.0492800000000004</v>
      </c>
      <c r="I269" s="57"/>
      <c r="J269" s="80"/>
      <c r="K269" s="57"/>
      <c r="L269" s="80"/>
      <c r="M269" s="57">
        <f t="shared" si="41"/>
        <v>6.0492800000000004</v>
      </c>
      <c r="N269" s="60"/>
      <c r="O269" s="61"/>
      <c r="P269" s="62"/>
      <c r="Q269" s="130"/>
      <c r="R269" s="61"/>
      <c r="S269" s="70"/>
      <c r="AB269" s="4" t="s">
        <v>40</v>
      </c>
    </row>
    <row r="270" spans="1:28" s="65" customFormat="1" x14ac:dyDescent="0.25">
      <c r="A270" s="49" t="s">
        <v>39</v>
      </c>
      <c r="B270" s="68" t="s">
        <v>176</v>
      </c>
      <c r="C270" s="68" t="s">
        <v>178</v>
      </c>
      <c r="D270" s="83" t="s">
        <v>24</v>
      </c>
      <c r="E270" s="78"/>
      <c r="F270" s="67">
        <f>2*1.7*4*0.025*1.1*2</f>
        <v>0.74800000000000011</v>
      </c>
      <c r="G270" s="79"/>
      <c r="H270" s="80"/>
      <c r="I270" s="57"/>
      <c r="J270" s="80"/>
      <c r="K270" s="80"/>
      <c r="L270" s="80"/>
      <c r="M270" s="57"/>
      <c r="N270" s="60"/>
      <c r="O270" s="61"/>
      <c r="P270" s="62"/>
      <c r="Q270" s="62"/>
      <c r="R270" s="61"/>
      <c r="S270" s="107"/>
      <c r="AB270" s="4" t="s">
        <v>40</v>
      </c>
    </row>
    <row r="271" spans="1:28" s="65" customFormat="1" x14ac:dyDescent="0.25">
      <c r="A271" s="77"/>
      <c r="B271" s="55"/>
      <c r="C271" s="55" t="s">
        <v>30</v>
      </c>
      <c r="D271" s="77" t="s">
        <v>24</v>
      </c>
      <c r="E271" s="82">
        <v>1</v>
      </c>
      <c r="F271" s="82">
        <f>E271*F270</f>
        <v>0.74800000000000011</v>
      </c>
      <c r="G271" s="80"/>
      <c r="H271" s="80"/>
      <c r="I271" s="57">
        <v>12.5</v>
      </c>
      <c r="J271" s="57">
        <f t="shared" ref="J271" si="44">I271*F271</f>
        <v>9.3500000000000014</v>
      </c>
      <c r="K271" s="80"/>
      <c r="L271" s="80"/>
      <c r="M271" s="57">
        <f>L271+J271+H271</f>
        <v>9.3500000000000014</v>
      </c>
      <c r="N271" s="60"/>
      <c r="O271" s="61"/>
      <c r="P271" s="62"/>
      <c r="Q271" s="130"/>
      <c r="R271" s="61"/>
      <c r="S271" s="107"/>
      <c r="AB271" s="4" t="s">
        <v>40</v>
      </c>
    </row>
    <row r="272" spans="1:28" s="65" customFormat="1" x14ac:dyDescent="0.25">
      <c r="A272" s="77"/>
      <c r="B272" s="55"/>
      <c r="C272" s="55" t="s">
        <v>18</v>
      </c>
      <c r="D272" s="77" t="s">
        <v>1</v>
      </c>
      <c r="E272" s="82">
        <v>0.6</v>
      </c>
      <c r="F272" s="82">
        <f>E272*F270</f>
        <v>0.44880000000000003</v>
      </c>
      <c r="G272" s="80"/>
      <c r="H272" s="80"/>
      <c r="I272" s="57"/>
      <c r="J272" s="80"/>
      <c r="K272" s="80">
        <v>3.2</v>
      </c>
      <c r="L272" s="80">
        <f t="shared" ref="L272" si="45">K272*F272</f>
        <v>1.4361600000000001</v>
      </c>
      <c r="M272" s="57">
        <f>L272+J272+H272</f>
        <v>1.4361600000000001</v>
      </c>
      <c r="N272" s="60"/>
      <c r="O272" s="61"/>
      <c r="P272" s="62"/>
      <c r="Q272" s="130"/>
      <c r="R272" s="61"/>
      <c r="S272" s="71"/>
      <c r="AB272" s="4" t="s">
        <v>40</v>
      </c>
    </row>
    <row r="273" spans="1:28" s="65" customFormat="1" x14ac:dyDescent="0.25">
      <c r="A273" s="77"/>
      <c r="B273" s="55"/>
      <c r="C273" s="55" t="s">
        <v>177</v>
      </c>
      <c r="D273" s="77" t="s">
        <v>24</v>
      </c>
      <c r="E273" s="82">
        <v>1</v>
      </c>
      <c r="F273" s="82">
        <f>E273*F270</f>
        <v>0.74800000000000011</v>
      </c>
      <c r="G273" s="80">
        <v>135</v>
      </c>
      <c r="H273" s="80">
        <f t="shared" ref="H273:H274" si="46">G273*F273</f>
        <v>100.98000000000002</v>
      </c>
      <c r="I273" s="57"/>
      <c r="J273" s="80"/>
      <c r="K273" s="80"/>
      <c r="L273" s="80"/>
      <c r="M273" s="57">
        <f>L273+J273+H273</f>
        <v>100.98000000000002</v>
      </c>
      <c r="N273" s="60"/>
      <c r="O273" s="61"/>
      <c r="P273" s="62"/>
      <c r="Q273" s="130"/>
      <c r="R273" s="61"/>
      <c r="S273" s="28"/>
      <c r="AB273" s="4" t="s">
        <v>40</v>
      </c>
    </row>
    <row r="274" spans="1:28" s="65" customFormat="1" x14ac:dyDescent="0.25">
      <c r="A274" s="77"/>
      <c r="B274" s="55"/>
      <c r="C274" s="55" t="s">
        <v>43</v>
      </c>
      <c r="D274" s="77" t="s">
        <v>1</v>
      </c>
      <c r="E274" s="82">
        <v>0.65600000000000003</v>
      </c>
      <c r="F274" s="82">
        <f>E274*F270</f>
        <v>0.49068800000000007</v>
      </c>
      <c r="G274" s="80">
        <v>3.2</v>
      </c>
      <c r="H274" s="80">
        <f t="shared" si="46"/>
        <v>1.5702016000000003</v>
      </c>
      <c r="I274" s="57"/>
      <c r="J274" s="80"/>
      <c r="K274" s="80"/>
      <c r="L274" s="80"/>
      <c r="M274" s="57">
        <f>L274+J274+H274</f>
        <v>1.5702016000000003</v>
      </c>
      <c r="N274" s="60"/>
      <c r="O274" s="61"/>
      <c r="P274" s="62"/>
      <c r="Q274" s="130"/>
      <c r="R274" s="61"/>
      <c r="S274" s="28"/>
      <c r="AB274" s="4" t="s">
        <v>40</v>
      </c>
    </row>
    <row r="275" spans="1:28" s="70" customFormat="1" ht="27" x14ac:dyDescent="0.25">
      <c r="A275" s="49" t="s">
        <v>39</v>
      </c>
      <c r="B275" s="123" t="s">
        <v>186</v>
      </c>
      <c r="C275" s="124" t="s">
        <v>187</v>
      </c>
      <c r="D275" s="124" t="s">
        <v>25</v>
      </c>
      <c r="E275" s="133"/>
      <c r="F275" s="125">
        <v>8</v>
      </c>
      <c r="G275" s="125"/>
      <c r="H275" s="80"/>
      <c r="I275" s="125"/>
      <c r="J275" s="80"/>
      <c r="K275" s="57"/>
      <c r="L275" s="80"/>
      <c r="M275" s="125"/>
      <c r="N275" s="60"/>
      <c r="O275" s="61"/>
      <c r="P275" s="62"/>
      <c r="Q275" s="111"/>
      <c r="R275" s="61"/>
      <c r="S275" s="128"/>
      <c r="AB275" s="4" t="s">
        <v>40</v>
      </c>
    </row>
    <row r="276" spans="1:28" s="70" customFormat="1" x14ac:dyDescent="0.25">
      <c r="A276" s="76"/>
      <c r="B276" s="123"/>
      <c r="C276" s="76" t="s">
        <v>86</v>
      </c>
      <c r="D276" s="77" t="s">
        <v>25</v>
      </c>
      <c r="E276" s="126">
        <v>1</v>
      </c>
      <c r="F276" s="127">
        <f>E276*F275</f>
        <v>8</v>
      </c>
      <c r="G276" s="127"/>
      <c r="H276" s="80"/>
      <c r="I276" s="57">
        <v>2.5</v>
      </c>
      <c r="J276" s="57">
        <f t="shared" ref="J276" si="47">I276*F276</f>
        <v>20</v>
      </c>
      <c r="K276" s="57"/>
      <c r="L276" s="80"/>
      <c r="M276" s="127">
        <f>H276+J276+L276</f>
        <v>20</v>
      </c>
      <c r="N276" s="60"/>
      <c r="O276" s="61"/>
      <c r="P276" s="62"/>
      <c r="Q276" s="111"/>
      <c r="R276" s="61"/>
      <c r="S276" s="128"/>
      <c r="AB276" s="4" t="s">
        <v>40</v>
      </c>
    </row>
    <row r="277" spans="1:28" s="70" customFormat="1" x14ac:dyDescent="0.25">
      <c r="A277" s="76"/>
      <c r="B277" s="124"/>
      <c r="C277" s="76" t="s">
        <v>34</v>
      </c>
      <c r="D277" s="129" t="s">
        <v>1</v>
      </c>
      <c r="E277" s="126">
        <f>1.9/100</f>
        <v>1.9E-2</v>
      </c>
      <c r="F277" s="127">
        <f>E277*F275</f>
        <v>0.152</v>
      </c>
      <c r="G277" s="127"/>
      <c r="H277" s="80"/>
      <c r="I277" s="127"/>
      <c r="J277" s="80"/>
      <c r="K277" s="57">
        <v>3.2</v>
      </c>
      <c r="L277" s="80">
        <f t="shared" ref="L277" si="48">K277*F277</f>
        <v>0.4864</v>
      </c>
      <c r="M277" s="127">
        <f>L277+J277+H277</f>
        <v>0.4864</v>
      </c>
      <c r="N277" s="60"/>
      <c r="O277" s="61"/>
      <c r="P277" s="62"/>
      <c r="Q277" s="111"/>
      <c r="R277" s="61"/>
      <c r="S277" s="128"/>
      <c r="AB277" s="4" t="s">
        <v>40</v>
      </c>
    </row>
    <row r="278" spans="1:28" s="128" customFormat="1" ht="40.5" x14ac:dyDescent="0.25">
      <c r="A278" s="49" t="s">
        <v>39</v>
      </c>
      <c r="B278" s="48" t="s">
        <v>188</v>
      </c>
      <c r="C278" s="48" t="s">
        <v>191</v>
      </c>
      <c r="D278" s="83" t="s">
        <v>28</v>
      </c>
      <c r="E278" s="67"/>
      <c r="F278" s="67">
        <v>200</v>
      </c>
      <c r="G278" s="79"/>
      <c r="H278" s="80"/>
      <c r="I278" s="57"/>
      <c r="J278" s="80"/>
      <c r="K278" s="80"/>
      <c r="L278" s="80"/>
      <c r="M278" s="57"/>
      <c r="N278" s="60"/>
      <c r="O278" s="61"/>
      <c r="P278" s="62"/>
      <c r="Q278" s="62"/>
      <c r="R278" s="61"/>
      <c r="S278" s="70"/>
      <c r="AB278" s="4" t="s">
        <v>40</v>
      </c>
    </row>
    <row r="279" spans="1:28" s="128" customFormat="1" x14ac:dyDescent="0.25">
      <c r="A279" s="87"/>
      <c r="B279" s="57"/>
      <c r="C279" s="57" t="s">
        <v>30</v>
      </c>
      <c r="D279" s="77" t="s">
        <v>28</v>
      </c>
      <c r="E279" s="58">
        <v>1</v>
      </c>
      <c r="F279" s="58">
        <f>F278*E279</f>
        <v>200</v>
      </c>
      <c r="G279" s="57"/>
      <c r="H279" s="80"/>
      <c r="I279" s="57">
        <v>3.5</v>
      </c>
      <c r="J279" s="57">
        <f t="shared" ref="J279" si="49">I279*F279</f>
        <v>700</v>
      </c>
      <c r="K279" s="57"/>
      <c r="L279" s="80"/>
      <c r="M279" s="57">
        <f>H279+J279+L279</f>
        <v>700</v>
      </c>
      <c r="N279" s="60"/>
      <c r="O279" s="61"/>
      <c r="P279" s="62"/>
      <c r="Q279" s="61"/>
      <c r="R279" s="61"/>
      <c r="S279" s="70"/>
      <c r="AB279" s="4" t="s">
        <v>40</v>
      </c>
    </row>
    <row r="280" spans="1:28" s="128" customFormat="1" x14ac:dyDescent="0.25">
      <c r="A280" s="87"/>
      <c r="B280" s="57"/>
      <c r="C280" s="57" t="s">
        <v>189</v>
      </c>
      <c r="D280" s="77" t="s">
        <v>1</v>
      </c>
      <c r="E280" s="58">
        <v>2.5700000000000001E-2</v>
      </c>
      <c r="F280" s="58">
        <f>F278*E280</f>
        <v>5.1400000000000006</v>
      </c>
      <c r="G280" s="57"/>
      <c r="H280" s="80"/>
      <c r="I280" s="57"/>
      <c r="J280" s="80"/>
      <c r="K280" s="57">
        <v>3.2</v>
      </c>
      <c r="L280" s="80">
        <f t="shared" ref="L280" si="50">K280*F280</f>
        <v>16.448000000000004</v>
      </c>
      <c r="M280" s="57">
        <f>H280+J280+L280</f>
        <v>16.448000000000004</v>
      </c>
      <c r="N280" s="60"/>
      <c r="O280" s="61"/>
      <c r="P280" s="62"/>
      <c r="Q280" s="61"/>
      <c r="R280" s="61"/>
      <c r="S280" s="70"/>
      <c r="AB280" s="4" t="s">
        <v>40</v>
      </c>
    </row>
    <row r="281" spans="1:28" s="128" customFormat="1" x14ac:dyDescent="0.25">
      <c r="A281" s="87"/>
      <c r="B281" s="57"/>
      <c r="C281" s="57" t="s">
        <v>190</v>
      </c>
      <c r="D281" s="77" t="s">
        <v>28</v>
      </c>
      <c r="E281" s="58">
        <v>0.92900000000000005</v>
      </c>
      <c r="F281" s="58">
        <f>F278*E281</f>
        <v>185.8</v>
      </c>
      <c r="G281" s="57">
        <v>0.8</v>
      </c>
      <c r="H281" s="80">
        <f t="shared" ref="H281:H282" si="51">G281*F281</f>
        <v>148.64000000000001</v>
      </c>
      <c r="I281" s="57"/>
      <c r="J281" s="80"/>
      <c r="K281" s="57"/>
      <c r="L281" s="80"/>
      <c r="M281" s="57">
        <f>H281+J281+L281</f>
        <v>148.64000000000001</v>
      </c>
      <c r="N281" s="60"/>
      <c r="O281" s="61"/>
      <c r="P281" s="62"/>
      <c r="Q281" s="61"/>
      <c r="R281" s="61"/>
      <c r="S281" s="70"/>
      <c r="AB281" s="4" t="s">
        <v>40</v>
      </c>
    </row>
    <row r="282" spans="1:28" s="128" customFormat="1" x14ac:dyDescent="0.25">
      <c r="A282" s="87"/>
      <c r="B282" s="57"/>
      <c r="C282" s="57" t="s">
        <v>74</v>
      </c>
      <c r="D282" s="77" t="s">
        <v>1</v>
      </c>
      <c r="E282" s="58">
        <v>4.5699999999999998E-2</v>
      </c>
      <c r="F282" s="58">
        <f>F278*E282</f>
        <v>9.1399999999999988</v>
      </c>
      <c r="G282" s="57">
        <v>3.2</v>
      </c>
      <c r="H282" s="80">
        <f t="shared" si="51"/>
        <v>29.247999999999998</v>
      </c>
      <c r="I282" s="57"/>
      <c r="J282" s="80"/>
      <c r="K282" s="57"/>
      <c r="L282" s="80"/>
      <c r="M282" s="57">
        <f>H282+J282+L282</f>
        <v>29.247999999999998</v>
      </c>
      <c r="N282" s="60"/>
      <c r="O282" s="61"/>
      <c r="P282" s="62"/>
      <c r="Q282" s="61"/>
      <c r="R282" s="61"/>
      <c r="S282" s="70"/>
      <c r="AB282" s="4" t="s">
        <v>40</v>
      </c>
    </row>
    <row r="283" spans="1:28" s="104" customFormat="1" ht="27" x14ac:dyDescent="0.25">
      <c r="A283" s="49" t="s">
        <v>39</v>
      </c>
      <c r="B283" s="73" t="s">
        <v>41</v>
      </c>
      <c r="C283" s="24" t="s">
        <v>193</v>
      </c>
      <c r="D283" s="83" t="s">
        <v>25</v>
      </c>
      <c r="E283" s="25"/>
      <c r="F283" s="25">
        <v>4</v>
      </c>
      <c r="G283" s="79"/>
      <c r="H283" s="80"/>
      <c r="I283" s="57"/>
      <c r="J283" s="80"/>
      <c r="K283" s="80"/>
      <c r="L283" s="80"/>
      <c r="M283" s="57"/>
      <c r="N283" s="60"/>
      <c r="O283" s="61"/>
      <c r="P283" s="62"/>
      <c r="Q283" s="61"/>
      <c r="R283" s="94"/>
      <c r="S283" s="70"/>
      <c r="AB283" s="4" t="s">
        <v>40</v>
      </c>
    </row>
    <row r="284" spans="1:28" s="104" customFormat="1" x14ac:dyDescent="0.25">
      <c r="A284" s="109"/>
      <c r="B284" s="55"/>
      <c r="C284" s="26" t="s">
        <v>17</v>
      </c>
      <c r="D284" s="77" t="s">
        <v>25</v>
      </c>
      <c r="E284" s="110">
        <v>1</v>
      </c>
      <c r="F284" s="110">
        <f>F283*E284</f>
        <v>4</v>
      </c>
      <c r="G284" s="26"/>
      <c r="H284" s="80"/>
      <c r="I284" s="26">
        <v>31.25</v>
      </c>
      <c r="J284" s="57">
        <f t="shared" ref="J284" si="52">I284*F284</f>
        <v>125</v>
      </c>
      <c r="K284" s="26"/>
      <c r="L284" s="80"/>
      <c r="M284" s="26">
        <f>H284+J284+L284</f>
        <v>125</v>
      </c>
      <c r="N284" s="60"/>
      <c r="O284" s="61"/>
      <c r="P284" s="62"/>
      <c r="Q284" s="61"/>
      <c r="R284" s="94"/>
      <c r="S284" s="70"/>
      <c r="AB284" s="4" t="s">
        <v>40</v>
      </c>
    </row>
    <row r="285" spans="1:28" s="104" customFormat="1" x14ac:dyDescent="0.25">
      <c r="A285" s="109"/>
      <c r="B285" s="26"/>
      <c r="C285" s="26" t="s">
        <v>192</v>
      </c>
      <c r="D285" s="77" t="s">
        <v>1</v>
      </c>
      <c r="E285" s="110">
        <v>1</v>
      </c>
      <c r="F285" s="110">
        <f>F283*E285</f>
        <v>4</v>
      </c>
      <c r="G285" s="26">
        <v>125</v>
      </c>
      <c r="H285" s="80">
        <f t="shared" ref="H285" si="53">G285*F285</f>
        <v>500</v>
      </c>
      <c r="I285" s="26"/>
      <c r="J285" s="80"/>
      <c r="K285" s="26">
        <v>3.2</v>
      </c>
      <c r="L285" s="80">
        <f t="shared" ref="L285" si="54">K285*F285</f>
        <v>12.8</v>
      </c>
      <c r="M285" s="26">
        <f>H285+J285+L285</f>
        <v>512.79999999999995</v>
      </c>
      <c r="N285" s="60"/>
      <c r="O285" s="61"/>
      <c r="P285" s="62"/>
      <c r="Q285" s="61"/>
      <c r="R285" s="94"/>
      <c r="S285" s="70"/>
      <c r="AB285" s="4" t="s">
        <v>40</v>
      </c>
    </row>
    <row r="286" spans="1:28" s="70" customFormat="1" ht="27" x14ac:dyDescent="0.25">
      <c r="A286" s="49" t="s">
        <v>39</v>
      </c>
      <c r="B286" s="24" t="s">
        <v>194</v>
      </c>
      <c r="C286" s="24" t="s">
        <v>195</v>
      </c>
      <c r="D286" s="68" t="s">
        <v>67</v>
      </c>
      <c r="E286" s="25"/>
      <c r="F286" s="25">
        <f>0.05*0.02*3.14*200</f>
        <v>0.628</v>
      </c>
      <c r="G286" s="24"/>
      <c r="H286" s="80"/>
      <c r="I286" s="24"/>
      <c r="J286" s="80"/>
      <c r="K286" s="24"/>
      <c r="L286" s="80"/>
      <c r="M286" s="24"/>
      <c r="N286" s="60"/>
      <c r="O286" s="61"/>
      <c r="P286" s="62"/>
      <c r="Q286" s="62"/>
      <c r="R286" s="61"/>
      <c r="AB286" s="4" t="s">
        <v>40</v>
      </c>
    </row>
    <row r="287" spans="1:28" s="70" customFormat="1" x14ac:dyDescent="0.25">
      <c r="A287" s="109"/>
      <c r="B287" s="26"/>
      <c r="C287" s="26" t="s">
        <v>196</v>
      </c>
      <c r="D287" s="77" t="s">
        <v>67</v>
      </c>
      <c r="E287" s="110">
        <v>1</v>
      </c>
      <c r="F287" s="110">
        <f>F286*E287</f>
        <v>0.628</v>
      </c>
      <c r="G287" s="26"/>
      <c r="H287" s="80"/>
      <c r="I287" s="26">
        <v>50</v>
      </c>
      <c r="J287" s="57">
        <f t="shared" ref="J287" si="55">I287*F287</f>
        <v>31.4</v>
      </c>
      <c r="K287" s="26"/>
      <c r="L287" s="80"/>
      <c r="M287" s="26">
        <f t="shared" ref="M287:M292" si="56">H287+J287+L287</f>
        <v>31.4</v>
      </c>
      <c r="N287" s="60"/>
      <c r="O287" s="61"/>
      <c r="P287" s="62"/>
      <c r="Q287" s="61"/>
      <c r="R287" s="61"/>
      <c r="AB287" s="4" t="s">
        <v>40</v>
      </c>
    </row>
    <row r="288" spans="1:28" s="70" customFormat="1" x14ac:dyDescent="0.25">
      <c r="A288" s="109"/>
      <c r="B288" s="26"/>
      <c r="C288" s="26" t="s">
        <v>189</v>
      </c>
      <c r="D288" s="77" t="s">
        <v>1</v>
      </c>
      <c r="E288" s="110">
        <v>0.17</v>
      </c>
      <c r="F288" s="110">
        <f>F286*E288</f>
        <v>0.10676000000000001</v>
      </c>
      <c r="G288" s="26"/>
      <c r="H288" s="80"/>
      <c r="I288" s="26"/>
      <c r="J288" s="80"/>
      <c r="K288" s="26">
        <v>3.2</v>
      </c>
      <c r="L288" s="80">
        <f t="shared" ref="L288" si="57">K288*F288</f>
        <v>0.34163200000000005</v>
      </c>
      <c r="M288" s="26">
        <f t="shared" si="56"/>
        <v>0.34163200000000005</v>
      </c>
      <c r="N288" s="60"/>
      <c r="O288" s="61"/>
      <c r="P288" s="62"/>
      <c r="Q288" s="61"/>
      <c r="R288" s="61"/>
      <c r="AB288" s="4" t="s">
        <v>40</v>
      </c>
    </row>
    <row r="289" spans="1:28" s="70" customFormat="1" x14ac:dyDescent="0.25">
      <c r="A289" s="109"/>
      <c r="B289" s="26"/>
      <c r="C289" s="26" t="s">
        <v>197</v>
      </c>
      <c r="D289" s="77" t="s">
        <v>24</v>
      </c>
      <c r="E289" s="110">
        <v>1.03</v>
      </c>
      <c r="F289" s="110">
        <f>E289*F286/0.05</f>
        <v>12.936799999999998</v>
      </c>
      <c r="G289" s="26">
        <v>1.86</v>
      </c>
      <c r="H289" s="80">
        <f t="shared" ref="H289:H292" si="58">G289*F289</f>
        <v>24.062447999999996</v>
      </c>
      <c r="I289" s="26"/>
      <c r="J289" s="80"/>
      <c r="K289" s="26"/>
      <c r="L289" s="80"/>
      <c r="M289" s="26">
        <f t="shared" si="56"/>
        <v>24.062447999999996</v>
      </c>
      <c r="N289" s="60"/>
      <c r="O289" s="61"/>
      <c r="P289" s="62"/>
      <c r="Q289" s="61"/>
      <c r="R289" s="61"/>
      <c r="AB289" s="4" t="s">
        <v>40</v>
      </c>
    </row>
    <row r="290" spans="1:28" s="70" customFormat="1" x14ac:dyDescent="0.25">
      <c r="A290" s="109"/>
      <c r="B290" s="26"/>
      <c r="C290" s="26" t="s">
        <v>198</v>
      </c>
      <c r="D290" s="77" t="s">
        <v>61</v>
      </c>
      <c r="E290" s="110">
        <v>10.6</v>
      </c>
      <c r="F290" s="110">
        <f>F286*E290</f>
        <v>6.6567999999999996</v>
      </c>
      <c r="G290" s="26">
        <v>1.9</v>
      </c>
      <c r="H290" s="80">
        <f t="shared" si="58"/>
        <v>12.647919999999999</v>
      </c>
      <c r="I290" s="26"/>
      <c r="J290" s="80"/>
      <c r="K290" s="26"/>
      <c r="L290" s="80"/>
      <c r="M290" s="26">
        <f t="shared" si="56"/>
        <v>12.647919999999999</v>
      </c>
      <c r="N290" s="60"/>
      <c r="O290" s="61"/>
      <c r="P290" s="62"/>
      <c r="Q290" s="61"/>
      <c r="R290" s="61"/>
      <c r="AB290" s="4" t="s">
        <v>40</v>
      </c>
    </row>
    <row r="291" spans="1:28" s="70" customFormat="1" x14ac:dyDescent="0.25">
      <c r="A291" s="109"/>
      <c r="B291" s="26"/>
      <c r="C291" s="26" t="s">
        <v>199</v>
      </c>
      <c r="D291" s="77" t="s">
        <v>61</v>
      </c>
      <c r="E291" s="110">
        <v>1</v>
      </c>
      <c r="F291" s="110">
        <f>F286*E291</f>
        <v>0.628</v>
      </c>
      <c r="G291" s="26">
        <v>1.7</v>
      </c>
      <c r="H291" s="80">
        <f t="shared" si="58"/>
        <v>1.0675999999999999</v>
      </c>
      <c r="I291" s="26"/>
      <c r="J291" s="80"/>
      <c r="K291" s="26"/>
      <c r="L291" s="80"/>
      <c r="M291" s="26">
        <f t="shared" si="56"/>
        <v>1.0675999999999999</v>
      </c>
      <c r="N291" s="60"/>
      <c r="O291" s="61"/>
      <c r="P291" s="62"/>
      <c r="Q291" s="61"/>
      <c r="R291" s="61"/>
      <c r="AB291" s="4" t="s">
        <v>40</v>
      </c>
    </row>
    <row r="292" spans="1:28" s="70" customFormat="1" x14ac:dyDescent="0.25">
      <c r="A292" s="109"/>
      <c r="B292" s="26"/>
      <c r="C292" s="26" t="s">
        <v>74</v>
      </c>
      <c r="D292" s="77" t="s">
        <v>1</v>
      </c>
      <c r="E292" s="110">
        <v>0.9</v>
      </c>
      <c r="F292" s="110">
        <f>F286*E292</f>
        <v>0.56520000000000004</v>
      </c>
      <c r="G292" s="26">
        <v>3.2</v>
      </c>
      <c r="H292" s="80">
        <f t="shared" si="58"/>
        <v>1.8086400000000002</v>
      </c>
      <c r="I292" s="26"/>
      <c r="J292" s="80"/>
      <c r="K292" s="26"/>
      <c r="L292" s="80"/>
      <c r="M292" s="26">
        <f t="shared" si="56"/>
        <v>1.8086400000000002</v>
      </c>
      <c r="N292" s="60"/>
      <c r="O292" s="61"/>
      <c r="P292" s="62"/>
      <c r="Q292" s="61"/>
      <c r="R292" s="61"/>
      <c r="AB292" s="4" t="s">
        <v>40</v>
      </c>
    </row>
    <row r="293" spans="1:28" s="71" customFormat="1" x14ac:dyDescent="0.25">
      <c r="A293" s="49" t="s">
        <v>39</v>
      </c>
      <c r="B293" s="48" t="s">
        <v>124</v>
      </c>
      <c r="C293" s="48" t="s">
        <v>200</v>
      </c>
      <c r="D293" s="48" t="s">
        <v>24</v>
      </c>
      <c r="E293" s="67"/>
      <c r="F293" s="78">
        <f>6.2*10.2</f>
        <v>63.239999999999995</v>
      </c>
      <c r="G293" s="48"/>
      <c r="H293" s="48"/>
      <c r="I293" s="48"/>
      <c r="J293" s="48"/>
      <c r="K293" s="48"/>
      <c r="L293" s="48"/>
      <c r="M293" s="48"/>
      <c r="N293" s="60"/>
      <c r="O293" s="61"/>
      <c r="P293" s="62"/>
      <c r="Q293" s="62"/>
      <c r="R293" s="61"/>
      <c r="S293" s="64"/>
      <c r="AB293" s="4" t="s">
        <v>40</v>
      </c>
    </row>
    <row r="294" spans="1:28" s="71" customFormat="1" x14ac:dyDescent="0.25">
      <c r="A294" s="55"/>
      <c r="B294" s="56"/>
      <c r="C294" s="55" t="s">
        <v>30</v>
      </c>
      <c r="D294" s="77" t="s">
        <v>24</v>
      </c>
      <c r="E294" s="58">
        <v>1</v>
      </c>
      <c r="F294" s="58">
        <f>F293*E294</f>
        <v>63.239999999999995</v>
      </c>
      <c r="G294" s="57"/>
      <c r="H294" s="57"/>
      <c r="I294" s="57">
        <v>6.25</v>
      </c>
      <c r="J294" s="57">
        <f>F294*I294</f>
        <v>395.24999999999994</v>
      </c>
      <c r="K294" s="57"/>
      <c r="L294" s="57"/>
      <c r="M294" s="57">
        <f>H294+J294+L294</f>
        <v>395.24999999999994</v>
      </c>
      <c r="N294" s="60"/>
      <c r="O294" s="61"/>
      <c r="P294" s="62"/>
      <c r="Q294" s="106"/>
      <c r="R294" s="61"/>
      <c r="S294" s="64"/>
      <c r="AB294" s="4" t="s">
        <v>40</v>
      </c>
    </row>
    <row r="295" spans="1:28" s="71" customFormat="1" x14ac:dyDescent="0.25">
      <c r="A295" s="66"/>
      <c r="B295" s="57"/>
      <c r="C295" s="57" t="s">
        <v>34</v>
      </c>
      <c r="D295" s="57" t="s">
        <v>1</v>
      </c>
      <c r="E295" s="58">
        <v>9.4999999999999998E-3</v>
      </c>
      <c r="F295" s="58">
        <f>F293*E295</f>
        <v>0.60077999999999998</v>
      </c>
      <c r="G295" s="57"/>
      <c r="H295" s="57"/>
      <c r="I295" s="57"/>
      <c r="J295" s="57"/>
      <c r="K295" s="57">
        <v>3.2</v>
      </c>
      <c r="L295" s="57">
        <f>F295*K295</f>
        <v>1.922496</v>
      </c>
      <c r="M295" s="57">
        <f>H295+J295+L295</f>
        <v>1.922496</v>
      </c>
      <c r="N295" s="60"/>
      <c r="O295" s="61"/>
      <c r="P295" s="62"/>
      <c r="Q295" s="106"/>
      <c r="R295" s="61"/>
      <c r="S295" s="64"/>
      <c r="AB295" s="4" t="s">
        <v>40</v>
      </c>
    </row>
    <row r="296" spans="1:28" s="71" customFormat="1" x14ac:dyDescent="0.25">
      <c r="A296" s="66"/>
      <c r="B296" s="57"/>
      <c r="C296" s="57" t="s">
        <v>125</v>
      </c>
      <c r="D296" s="57" t="s">
        <v>67</v>
      </c>
      <c r="E296" s="58">
        <v>5.0999999999999997E-2</v>
      </c>
      <c r="F296" s="58">
        <f>F293*E296</f>
        <v>3.2252399999999994</v>
      </c>
      <c r="G296" s="57">
        <v>85</v>
      </c>
      <c r="H296" s="57">
        <f>F296*G296</f>
        <v>274.14539999999994</v>
      </c>
      <c r="I296" s="57"/>
      <c r="J296" s="57"/>
      <c r="K296" s="57"/>
      <c r="L296" s="57"/>
      <c r="M296" s="57">
        <f>H296+J296+L296</f>
        <v>274.14539999999994</v>
      </c>
      <c r="N296" s="60"/>
      <c r="O296" s="61"/>
      <c r="P296" s="62"/>
      <c r="Q296" s="106"/>
      <c r="R296" s="61"/>
      <c r="S296" s="64"/>
      <c r="AB296" s="4" t="s">
        <v>40</v>
      </c>
    </row>
    <row r="297" spans="1:28" s="71" customFormat="1" x14ac:dyDescent="0.25">
      <c r="A297" s="66"/>
      <c r="B297" s="57"/>
      <c r="C297" s="57" t="s">
        <v>74</v>
      </c>
      <c r="D297" s="57" t="s">
        <v>1</v>
      </c>
      <c r="E297" s="58">
        <v>6.3600000000000004E-2</v>
      </c>
      <c r="F297" s="58">
        <f>F293*E297</f>
        <v>4.0220640000000003</v>
      </c>
      <c r="G297" s="57">
        <v>3.2</v>
      </c>
      <c r="H297" s="57">
        <f>F297*G297</f>
        <v>12.870604800000002</v>
      </c>
      <c r="I297" s="57"/>
      <c r="J297" s="57"/>
      <c r="K297" s="57"/>
      <c r="L297" s="57"/>
      <c r="M297" s="57">
        <f>H297+J297+L297</f>
        <v>12.870604800000002</v>
      </c>
      <c r="N297" s="60"/>
      <c r="O297" s="61"/>
      <c r="P297" s="62"/>
      <c r="Q297" s="106"/>
      <c r="R297" s="61"/>
      <c r="S297" s="64"/>
      <c r="AB297" s="4" t="s">
        <v>40</v>
      </c>
    </row>
    <row r="298" spans="1:28" s="70" customFormat="1" ht="27" x14ac:dyDescent="0.25">
      <c r="A298" s="49" t="s">
        <v>39</v>
      </c>
      <c r="B298" s="83" t="s">
        <v>85</v>
      </c>
      <c r="C298" s="48" t="s">
        <v>218</v>
      </c>
      <c r="D298" s="48" t="s">
        <v>24</v>
      </c>
      <c r="E298" s="67"/>
      <c r="F298" s="67">
        <f>(10.2+1.35+10.5+1.35+4.6+5.2+4.6+5.2+4.6+5+4.6+5)*3.25*1.1</f>
        <v>222.36500000000007</v>
      </c>
      <c r="G298" s="48"/>
      <c r="H298" s="80"/>
      <c r="I298" s="48"/>
      <c r="J298" s="80"/>
      <c r="K298" s="48"/>
      <c r="L298" s="80"/>
      <c r="M298" s="48"/>
      <c r="N298" s="60"/>
      <c r="O298" s="61"/>
      <c r="P298" s="62"/>
      <c r="Q298" s="85"/>
      <c r="R298" s="61"/>
      <c r="S298" s="86"/>
      <c r="AB298" s="4" t="s">
        <v>40</v>
      </c>
    </row>
    <row r="299" spans="1:28" s="70" customFormat="1" x14ac:dyDescent="0.25">
      <c r="A299" s="87"/>
      <c r="B299" s="57"/>
      <c r="C299" s="57" t="s">
        <v>86</v>
      </c>
      <c r="D299" s="77" t="s">
        <v>24</v>
      </c>
      <c r="E299" s="58">
        <v>1</v>
      </c>
      <c r="F299" s="58">
        <f>F298*E299</f>
        <v>222.36500000000007</v>
      </c>
      <c r="G299" s="57"/>
      <c r="H299" s="80"/>
      <c r="I299" s="57">
        <v>7.5</v>
      </c>
      <c r="J299" s="57">
        <f t="shared" ref="J299" si="59">I299*F299</f>
        <v>1667.7375000000004</v>
      </c>
      <c r="K299" s="57"/>
      <c r="L299" s="80"/>
      <c r="M299" s="57">
        <f t="shared" ref="M299:M311" si="60">H299+J299+L299</f>
        <v>1667.7375000000004</v>
      </c>
      <c r="N299" s="60"/>
      <c r="O299" s="61"/>
      <c r="P299" s="62"/>
      <c r="Q299" s="62"/>
      <c r="R299" s="61"/>
      <c r="S299" s="88"/>
      <c r="AB299" s="4" t="s">
        <v>40</v>
      </c>
    </row>
    <row r="300" spans="1:28" s="70" customFormat="1" x14ac:dyDescent="0.25">
      <c r="A300" s="87"/>
      <c r="B300" s="57"/>
      <c r="C300" s="57" t="s">
        <v>34</v>
      </c>
      <c r="D300" s="57" t="s">
        <v>1</v>
      </c>
      <c r="E300" s="58">
        <f>2.44/100+1.79/100</f>
        <v>4.2299999999999997E-2</v>
      </c>
      <c r="F300" s="58">
        <f>E300*F298</f>
        <v>9.4060395000000021</v>
      </c>
      <c r="G300" s="57"/>
      <c r="H300" s="80"/>
      <c r="I300" s="57"/>
      <c r="J300" s="80"/>
      <c r="K300" s="57">
        <v>3.2</v>
      </c>
      <c r="L300" s="80">
        <f t="shared" ref="L300" si="61">K300*F300</f>
        <v>30.09932640000001</v>
      </c>
      <c r="M300" s="57">
        <f t="shared" si="60"/>
        <v>30.09932640000001</v>
      </c>
      <c r="N300" s="60"/>
      <c r="O300" s="61"/>
      <c r="P300" s="62"/>
      <c r="Q300" s="89"/>
      <c r="R300" s="61"/>
      <c r="S300" s="90"/>
      <c r="AB300" s="4" t="s">
        <v>40</v>
      </c>
    </row>
    <row r="301" spans="1:28" s="70" customFormat="1" x14ac:dyDescent="0.25">
      <c r="A301" s="91"/>
      <c r="B301" s="57"/>
      <c r="C301" s="57" t="s">
        <v>87</v>
      </c>
      <c r="D301" s="57" t="s">
        <v>24</v>
      </c>
      <c r="E301" s="58">
        <v>1.05</v>
      </c>
      <c r="F301" s="58">
        <f>E301*F298</f>
        <v>233.48325000000008</v>
      </c>
      <c r="G301" s="57">
        <v>4.5</v>
      </c>
      <c r="H301" s="80">
        <f t="shared" ref="H301:H311" si="62">G301*F301</f>
        <v>1050.6746250000003</v>
      </c>
      <c r="I301" s="57"/>
      <c r="J301" s="80"/>
      <c r="K301" s="57"/>
      <c r="L301" s="80"/>
      <c r="M301" s="57">
        <f t="shared" si="60"/>
        <v>1050.6746250000003</v>
      </c>
      <c r="N301" s="60"/>
      <c r="O301" s="61"/>
      <c r="P301" s="62"/>
      <c r="Q301" s="89"/>
      <c r="R301" s="61"/>
      <c r="S301" s="90"/>
      <c r="AB301" s="4" t="s">
        <v>40</v>
      </c>
    </row>
    <row r="302" spans="1:28" s="70" customFormat="1" x14ac:dyDescent="0.25">
      <c r="A302" s="87"/>
      <c r="B302" s="57"/>
      <c r="C302" s="57" t="s">
        <v>88</v>
      </c>
      <c r="D302" s="57" t="s">
        <v>28</v>
      </c>
      <c r="E302" s="58">
        <v>0.7</v>
      </c>
      <c r="F302" s="58">
        <f>E302*F298</f>
        <v>155.65550000000005</v>
      </c>
      <c r="G302" s="57">
        <v>0.75</v>
      </c>
      <c r="H302" s="80">
        <f t="shared" si="62"/>
        <v>116.74162500000003</v>
      </c>
      <c r="I302" s="57"/>
      <c r="J302" s="80"/>
      <c r="K302" s="57"/>
      <c r="L302" s="80"/>
      <c r="M302" s="57">
        <f t="shared" si="60"/>
        <v>116.74162500000003</v>
      </c>
      <c r="N302" s="60"/>
      <c r="O302" s="61"/>
      <c r="P302" s="62"/>
      <c r="Q302" s="89"/>
      <c r="R302" s="61"/>
      <c r="S302" s="90"/>
      <c r="AB302" s="4" t="s">
        <v>40</v>
      </c>
    </row>
    <row r="303" spans="1:28" s="70" customFormat="1" x14ac:dyDescent="0.25">
      <c r="A303" s="87"/>
      <c r="B303" s="57"/>
      <c r="C303" s="57" t="s">
        <v>89</v>
      </c>
      <c r="D303" s="57" t="s">
        <v>28</v>
      </c>
      <c r="E303" s="58">
        <v>2</v>
      </c>
      <c r="F303" s="58">
        <f>E303*F298</f>
        <v>444.73000000000013</v>
      </c>
      <c r="G303" s="57">
        <v>0.45</v>
      </c>
      <c r="H303" s="80">
        <f t="shared" si="62"/>
        <v>200.12850000000006</v>
      </c>
      <c r="I303" s="57"/>
      <c r="J303" s="80"/>
      <c r="K303" s="57"/>
      <c r="L303" s="80"/>
      <c r="M303" s="57">
        <f t="shared" si="60"/>
        <v>200.12850000000006</v>
      </c>
      <c r="N303" s="60"/>
      <c r="O303" s="61"/>
      <c r="P303" s="62"/>
      <c r="Q303" s="89"/>
      <c r="R303" s="61"/>
      <c r="S303" s="90"/>
      <c r="AB303" s="4" t="s">
        <v>40</v>
      </c>
    </row>
    <row r="304" spans="1:28" s="70" customFormat="1" x14ac:dyDescent="0.25">
      <c r="A304" s="91"/>
      <c r="B304" s="57"/>
      <c r="C304" s="57" t="s">
        <v>90</v>
      </c>
      <c r="D304" s="57" t="s">
        <v>25</v>
      </c>
      <c r="E304" s="58">
        <v>29</v>
      </c>
      <c r="F304" s="58">
        <f>E304*F298</f>
        <v>6448.5850000000019</v>
      </c>
      <c r="G304" s="57">
        <v>0.01</v>
      </c>
      <c r="H304" s="80">
        <f t="shared" si="62"/>
        <v>64.485850000000013</v>
      </c>
      <c r="I304" s="57"/>
      <c r="J304" s="80"/>
      <c r="K304" s="57"/>
      <c r="L304" s="80"/>
      <c r="M304" s="57">
        <f t="shared" si="60"/>
        <v>64.485850000000013</v>
      </c>
      <c r="N304" s="60"/>
      <c r="O304" s="61"/>
      <c r="P304" s="62"/>
      <c r="Q304" s="89"/>
      <c r="R304" s="61"/>
      <c r="S304" s="90"/>
      <c r="AB304" s="4" t="s">
        <v>40</v>
      </c>
    </row>
    <row r="305" spans="1:28" s="70" customFormat="1" x14ac:dyDescent="0.25">
      <c r="A305" s="91"/>
      <c r="B305" s="57"/>
      <c r="C305" s="57" t="s">
        <v>91</v>
      </c>
      <c r="D305" s="57" t="s">
        <v>61</v>
      </c>
      <c r="E305" s="58">
        <v>0.6</v>
      </c>
      <c r="F305" s="58">
        <f>E305*F298</f>
        <v>133.41900000000004</v>
      </c>
      <c r="G305" s="57">
        <v>0.45</v>
      </c>
      <c r="H305" s="80">
        <f t="shared" si="62"/>
        <v>60.038550000000022</v>
      </c>
      <c r="I305" s="57"/>
      <c r="J305" s="80"/>
      <c r="K305" s="57"/>
      <c r="L305" s="80"/>
      <c r="M305" s="57">
        <f t="shared" si="60"/>
        <v>60.038550000000022</v>
      </c>
      <c r="N305" s="60"/>
      <c r="O305" s="61"/>
      <c r="P305" s="62"/>
      <c r="Q305" s="89"/>
      <c r="R305" s="61"/>
      <c r="S305" s="90"/>
      <c r="AB305" s="4" t="s">
        <v>40</v>
      </c>
    </row>
    <row r="306" spans="1:28" s="70" customFormat="1" x14ac:dyDescent="0.25">
      <c r="A306" s="91"/>
      <c r="B306" s="57"/>
      <c r="C306" s="57" t="s">
        <v>92</v>
      </c>
      <c r="D306" s="57" t="s">
        <v>28</v>
      </c>
      <c r="E306" s="58">
        <v>1.5</v>
      </c>
      <c r="F306" s="58">
        <f>E306*F298</f>
        <v>333.54750000000013</v>
      </c>
      <c r="G306" s="57">
        <v>0.1</v>
      </c>
      <c r="H306" s="80">
        <f t="shared" si="62"/>
        <v>33.354750000000017</v>
      </c>
      <c r="I306" s="57"/>
      <c r="J306" s="80"/>
      <c r="K306" s="57"/>
      <c r="L306" s="80"/>
      <c r="M306" s="57">
        <f t="shared" si="60"/>
        <v>33.354750000000017</v>
      </c>
      <c r="N306" s="60"/>
      <c r="O306" s="61"/>
      <c r="P306" s="62"/>
      <c r="Q306" s="89"/>
      <c r="R306" s="61"/>
      <c r="S306" s="90"/>
      <c r="AB306" s="4" t="s">
        <v>40</v>
      </c>
    </row>
    <row r="307" spans="1:28" s="70" customFormat="1" x14ac:dyDescent="0.25">
      <c r="A307" s="91"/>
      <c r="B307" s="57"/>
      <c r="C307" s="57" t="s">
        <v>93</v>
      </c>
      <c r="D307" s="57" t="s">
        <v>25</v>
      </c>
      <c r="E307" s="58">
        <v>1.5</v>
      </c>
      <c r="F307" s="58">
        <f>E307*F298</f>
        <v>333.54750000000013</v>
      </c>
      <c r="G307" s="57">
        <v>5.0999999999999997E-2</v>
      </c>
      <c r="H307" s="80">
        <f t="shared" si="62"/>
        <v>17.010922500000007</v>
      </c>
      <c r="I307" s="57"/>
      <c r="J307" s="80"/>
      <c r="K307" s="57"/>
      <c r="L307" s="80"/>
      <c r="M307" s="57">
        <f t="shared" si="60"/>
        <v>17.010922500000007</v>
      </c>
      <c r="N307" s="60"/>
      <c r="O307" s="61"/>
      <c r="P307" s="62"/>
      <c r="Q307" s="89"/>
      <c r="R307" s="61"/>
      <c r="S307" s="90"/>
      <c r="AB307" s="4" t="s">
        <v>40</v>
      </c>
    </row>
    <row r="308" spans="1:28" s="70" customFormat="1" x14ac:dyDescent="0.25">
      <c r="A308" s="91"/>
      <c r="B308" s="57"/>
      <c r="C308" s="57" t="s">
        <v>94</v>
      </c>
      <c r="D308" s="57" t="s">
        <v>25</v>
      </c>
      <c r="E308" s="58">
        <v>1.2</v>
      </c>
      <c r="F308" s="58">
        <f>E308*F298</f>
        <v>266.83800000000008</v>
      </c>
      <c r="G308" s="57">
        <v>0.15</v>
      </c>
      <c r="H308" s="80">
        <f t="shared" si="62"/>
        <v>40.025700000000008</v>
      </c>
      <c r="I308" s="57"/>
      <c r="J308" s="80"/>
      <c r="K308" s="57"/>
      <c r="L308" s="80"/>
      <c r="M308" s="57">
        <f t="shared" si="60"/>
        <v>40.025700000000008</v>
      </c>
      <c r="N308" s="60"/>
      <c r="O308" s="61"/>
      <c r="P308" s="62"/>
      <c r="Q308" s="89"/>
      <c r="R308" s="61"/>
      <c r="S308" s="90"/>
      <c r="AB308" s="4" t="s">
        <v>40</v>
      </c>
    </row>
    <row r="309" spans="1:28" s="70" customFormat="1" x14ac:dyDescent="0.25">
      <c r="A309" s="91"/>
      <c r="B309" s="57"/>
      <c r="C309" s="57" t="s">
        <v>95</v>
      </c>
      <c r="D309" s="57" t="s">
        <v>25</v>
      </c>
      <c r="E309" s="58">
        <v>0.2</v>
      </c>
      <c r="F309" s="58">
        <f>E309*F298</f>
        <v>44.473000000000013</v>
      </c>
      <c r="G309" s="57">
        <v>0.35</v>
      </c>
      <c r="H309" s="80">
        <f t="shared" si="62"/>
        <v>15.565550000000004</v>
      </c>
      <c r="I309" s="57"/>
      <c r="J309" s="80"/>
      <c r="K309" s="57"/>
      <c r="L309" s="80"/>
      <c r="M309" s="57">
        <f t="shared" si="60"/>
        <v>15.565550000000004</v>
      </c>
      <c r="N309" s="60"/>
      <c r="O309" s="61"/>
      <c r="P309" s="62"/>
      <c r="Q309" s="89"/>
      <c r="R309" s="61"/>
      <c r="S309" s="90"/>
      <c r="AB309" s="4" t="s">
        <v>40</v>
      </c>
    </row>
    <row r="310" spans="1:28" s="70" customFormat="1" x14ac:dyDescent="0.25">
      <c r="A310" s="91"/>
      <c r="B310" s="57"/>
      <c r="C310" s="57" t="s">
        <v>96</v>
      </c>
      <c r="D310" s="57" t="s">
        <v>25</v>
      </c>
      <c r="E310" s="58">
        <v>1</v>
      </c>
      <c r="F310" s="58">
        <f>E310*F298</f>
        <v>222.36500000000007</v>
      </c>
      <c r="G310" s="57">
        <v>1.23</v>
      </c>
      <c r="H310" s="80">
        <f t="shared" si="62"/>
        <v>273.50895000000008</v>
      </c>
      <c r="I310" s="57"/>
      <c r="J310" s="80"/>
      <c r="K310" s="57"/>
      <c r="L310" s="80"/>
      <c r="M310" s="57">
        <f t="shared" si="60"/>
        <v>273.50895000000008</v>
      </c>
      <c r="N310" s="60"/>
      <c r="O310" s="61"/>
      <c r="P310" s="62"/>
      <c r="Q310" s="89"/>
      <c r="R310" s="61"/>
      <c r="S310" s="90"/>
      <c r="AB310" s="4" t="s">
        <v>40</v>
      </c>
    </row>
    <row r="311" spans="1:28" s="70" customFormat="1" x14ac:dyDescent="0.25">
      <c r="A311" s="87"/>
      <c r="B311" s="57"/>
      <c r="C311" s="57" t="s">
        <v>74</v>
      </c>
      <c r="D311" s="57" t="s">
        <v>1</v>
      </c>
      <c r="E311" s="58">
        <v>0.13200000000000001</v>
      </c>
      <c r="F311" s="58">
        <f>E311*F298</f>
        <v>29.352180000000011</v>
      </c>
      <c r="G311" s="57">
        <v>3.2</v>
      </c>
      <c r="H311" s="80">
        <f t="shared" si="62"/>
        <v>93.926976000000039</v>
      </c>
      <c r="I311" s="57"/>
      <c r="J311" s="80"/>
      <c r="K311" s="57"/>
      <c r="L311" s="80"/>
      <c r="M311" s="57">
        <f t="shared" si="60"/>
        <v>93.926976000000039</v>
      </c>
      <c r="N311" s="60"/>
      <c r="O311" s="61"/>
      <c r="P311" s="62"/>
      <c r="Q311" s="89"/>
      <c r="R311" s="61"/>
      <c r="S311" s="90"/>
      <c r="AB311" s="4" t="s">
        <v>40</v>
      </c>
    </row>
    <row r="312" spans="1:28" s="84" customFormat="1" ht="27" x14ac:dyDescent="0.25">
      <c r="A312" s="49" t="s">
        <v>39</v>
      </c>
      <c r="B312" s="83" t="s">
        <v>81</v>
      </c>
      <c r="C312" s="48" t="s">
        <v>219</v>
      </c>
      <c r="D312" s="83" t="s">
        <v>24</v>
      </c>
      <c r="E312" s="78"/>
      <c r="F312" s="67">
        <f>(10.2+1.35+10.5+1.35+4.6+5.2+4.6+5.2+4.6+5+4.6+5)*3.25*1.1</f>
        <v>222.36500000000007</v>
      </c>
      <c r="G312" s="79"/>
      <c r="H312" s="80"/>
      <c r="I312" s="79"/>
      <c r="J312" s="80"/>
      <c r="K312" s="79"/>
      <c r="L312" s="80"/>
      <c r="M312" s="80"/>
      <c r="N312" s="60"/>
      <c r="O312" s="61"/>
      <c r="P312" s="62"/>
      <c r="Q312" s="62"/>
      <c r="R312" s="61"/>
      <c r="S312" s="70"/>
      <c r="AB312" s="4" t="s">
        <v>40</v>
      </c>
    </row>
    <row r="313" spans="1:28" s="84" customFormat="1" x14ac:dyDescent="0.25">
      <c r="A313" s="77"/>
      <c r="B313" s="83"/>
      <c r="C313" s="55" t="s">
        <v>30</v>
      </c>
      <c r="D313" s="77" t="s">
        <v>24</v>
      </c>
      <c r="E313" s="82">
        <v>1</v>
      </c>
      <c r="F313" s="82">
        <f>E313*F312</f>
        <v>222.36500000000007</v>
      </c>
      <c r="G313" s="80"/>
      <c r="H313" s="80"/>
      <c r="I313" s="80">
        <v>6.25</v>
      </c>
      <c r="J313" s="80">
        <f>I313*F313</f>
        <v>1389.7812500000005</v>
      </c>
      <c r="K313" s="80"/>
      <c r="L313" s="80"/>
      <c r="M313" s="80">
        <f>L313+J313+H313</f>
        <v>1389.7812500000005</v>
      </c>
      <c r="N313" s="60"/>
      <c r="O313" s="61"/>
      <c r="P313" s="62"/>
      <c r="Q313" s="61"/>
      <c r="R313" s="61"/>
      <c r="S313" s="70"/>
      <c r="AB313" s="4" t="s">
        <v>40</v>
      </c>
    </row>
    <row r="314" spans="1:28" s="84" customFormat="1" x14ac:dyDescent="0.25">
      <c r="A314" s="77"/>
      <c r="B314" s="77"/>
      <c r="C314" s="55" t="s">
        <v>18</v>
      </c>
      <c r="D314" s="77" t="s">
        <v>1</v>
      </c>
      <c r="E314" s="82">
        <v>0.01</v>
      </c>
      <c r="F314" s="82">
        <f>E314*F312</f>
        <v>2.2236500000000006</v>
      </c>
      <c r="G314" s="80"/>
      <c r="H314" s="80"/>
      <c r="I314" s="80"/>
      <c r="J314" s="80"/>
      <c r="K314" s="80">
        <v>3.2</v>
      </c>
      <c r="L314" s="80">
        <f>K314*F314</f>
        <v>7.115680000000002</v>
      </c>
      <c r="M314" s="80">
        <f>L314+J314+H314</f>
        <v>7.115680000000002</v>
      </c>
      <c r="N314" s="60"/>
      <c r="O314" s="61"/>
      <c r="P314" s="62"/>
      <c r="Q314" s="61"/>
      <c r="R314" s="61"/>
      <c r="S314" s="70"/>
      <c r="AB314" s="4" t="s">
        <v>40</v>
      </c>
    </row>
    <row r="315" spans="1:28" s="84" customFormat="1" x14ac:dyDescent="0.25">
      <c r="A315" s="77"/>
      <c r="B315" s="77"/>
      <c r="C315" s="55" t="s">
        <v>84</v>
      </c>
      <c r="D315" s="77" t="s">
        <v>61</v>
      </c>
      <c r="E315" s="82">
        <v>0.63</v>
      </c>
      <c r="F315" s="82">
        <f>E315*F312</f>
        <v>140.08995000000004</v>
      </c>
      <c r="G315" s="80">
        <v>5.2</v>
      </c>
      <c r="H315" s="80">
        <f>G315*F315</f>
        <v>728.46774000000028</v>
      </c>
      <c r="I315" s="80"/>
      <c r="J315" s="80"/>
      <c r="K315" s="80"/>
      <c r="L315" s="80"/>
      <c r="M315" s="80">
        <f>L315+J315+H315</f>
        <v>728.46774000000028</v>
      </c>
      <c r="N315" s="60"/>
      <c r="O315" s="61"/>
      <c r="P315" s="62"/>
      <c r="Q315" s="61"/>
      <c r="R315" s="61"/>
      <c r="S315" s="70"/>
      <c r="AB315" s="4" t="s">
        <v>40</v>
      </c>
    </row>
    <row r="316" spans="1:28" s="84" customFormat="1" x14ac:dyDescent="0.25">
      <c r="A316" s="77"/>
      <c r="B316" s="77"/>
      <c r="C316" s="55" t="s">
        <v>107</v>
      </c>
      <c r="D316" s="77" t="s">
        <v>61</v>
      </c>
      <c r="E316" s="82">
        <v>0.79</v>
      </c>
      <c r="F316" s="82">
        <f>E316*F312</f>
        <v>175.66835000000006</v>
      </c>
      <c r="G316" s="80">
        <v>3.5</v>
      </c>
      <c r="H316" s="80">
        <f>G316*F316</f>
        <v>614.83922500000017</v>
      </c>
      <c r="I316" s="80"/>
      <c r="J316" s="80"/>
      <c r="K316" s="80"/>
      <c r="L316" s="80"/>
      <c r="M316" s="80">
        <f>L316+J316+H316</f>
        <v>614.83922500000017</v>
      </c>
      <c r="N316" s="60"/>
      <c r="O316" s="61"/>
      <c r="P316" s="62"/>
      <c r="Q316" s="61"/>
      <c r="R316" s="61"/>
      <c r="S316" s="70"/>
      <c r="AB316" s="4" t="s">
        <v>40</v>
      </c>
    </row>
    <row r="317" spans="1:28" s="84" customFormat="1" x14ac:dyDescent="0.25">
      <c r="A317" s="77"/>
      <c r="B317" s="77"/>
      <c r="C317" s="55" t="s">
        <v>43</v>
      </c>
      <c r="D317" s="77" t="s">
        <v>1</v>
      </c>
      <c r="E317" s="82">
        <v>1.6E-2</v>
      </c>
      <c r="F317" s="82">
        <f>E317*F312</f>
        <v>3.557840000000001</v>
      </c>
      <c r="G317" s="80">
        <v>3.2</v>
      </c>
      <c r="H317" s="80">
        <f>G317*F317</f>
        <v>11.385088000000003</v>
      </c>
      <c r="I317" s="80"/>
      <c r="J317" s="80"/>
      <c r="K317" s="80"/>
      <c r="L317" s="80"/>
      <c r="M317" s="80">
        <f>L317+J317+H317</f>
        <v>11.385088000000003</v>
      </c>
      <c r="N317" s="60"/>
      <c r="O317" s="61"/>
      <c r="P317" s="62"/>
      <c r="Q317" s="61"/>
      <c r="R317" s="61"/>
      <c r="S317" s="70"/>
      <c r="AB317" s="4" t="s">
        <v>40</v>
      </c>
    </row>
    <row r="318" spans="1:28" s="64" customFormat="1" ht="27" x14ac:dyDescent="0.25">
      <c r="A318" s="49" t="s">
        <v>39</v>
      </c>
      <c r="B318" s="48" t="s">
        <v>127</v>
      </c>
      <c r="C318" s="48" t="s">
        <v>130</v>
      </c>
      <c r="D318" s="48" t="s">
        <v>24</v>
      </c>
      <c r="E318" s="67"/>
      <c r="F318" s="78">
        <f>6.2*10.2</f>
        <v>63.239999999999995</v>
      </c>
      <c r="G318" s="48"/>
      <c r="H318" s="48"/>
      <c r="I318" s="48"/>
      <c r="J318" s="48"/>
      <c r="K318" s="48"/>
      <c r="L318" s="48"/>
      <c r="M318" s="48"/>
      <c r="N318" s="60"/>
      <c r="O318" s="61"/>
      <c r="P318" s="62"/>
      <c r="Q318" s="62"/>
      <c r="R318" s="61"/>
      <c r="S318" s="107"/>
      <c r="AB318" s="4" t="s">
        <v>40</v>
      </c>
    </row>
    <row r="319" spans="1:28" s="64" customFormat="1" x14ac:dyDescent="0.25">
      <c r="A319" s="55"/>
      <c r="B319" s="56"/>
      <c r="C319" s="55" t="s">
        <v>30</v>
      </c>
      <c r="D319" s="77" t="s">
        <v>24</v>
      </c>
      <c r="E319" s="58">
        <v>1</v>
      </c>
      <c r="F319" s="58">
        <f>F318*E319</f>
        <v>63.239999999999995</v>
      </c>
      <c r="G319" s="57"/>
      <c r="H319" s="57"/>
      <c r="I319" s="57">
        <v>6.25</v>
      </c>
      <c r="J319" s="57">
        <f>F319*I319</f>
        <v>395.24999999999994</v>
      </c>
      <c r="K319" s="57"/>
      <c r="L319" s="57"/>
      <c r="M319" s="57">
        <f t="shared" ref="M319:M324" si="63">H319+J319+L319</f>
        <v>395.24999999999994</v>
      </c>
      <c r="N319" s="60"/>
      <c r="O319" s="61"/>
      <c r="P319" s="62"/>
      <c r="Q319" s="106"/>
      <c r="R319" s="61"/>
      <c r="S319" s="107"/>
      <c r="AB319" s="4" t="s">
        <v>40</v>
      </c>
    </row>
    <row r="320" spans="1:28" s="64" customFormat="1" x14ac:dyDescent="0.25">
      <c r="A320" s="66"/>
      <c r="B320" s="57"/>
      <c r="C320" s="57" t="s">
        <v>34</v>
      </c>
      <c r="D320" s="57" t="s">
        <v>1</v>
      </c>
      <c r="E320" s="58">
        <v>3.6499999999999998E-2</v>
      </c>
      <c r="F320" s="58">
        <f>F318*E320</f>
        <v>2.3082599999999998</v>
      </c>
      <c r="G320" s="57"/>
      <c r="H320" s="57"/>
      <c r="I320" s="57"/>
      <c r="J320" s="57"/>
      <c r="K320" s="57">
        <v>3.2</v>
      </c>
      <c r="L320" s="57">
        <f>F320*K320</f>
        <v>7.3864319999999992</v>
      </c>
      <c r="M320" s="57">
        <f t="shared" si="63"/>
        <v>7.3864319999999992</v>
      </c>
      <c r="N320" s="60"/>
      <c r="O320" s="61"/>
      <c r="P320" s="62"/>
      <c r="Q320" s="106"/>
      <c r="R320" s="61"/>
      <c r="S320" s="107"/>
      <c r="AB320" s="4" t="s">
        <v>40</v>
      </c>
    </row>
    <row r="321" spans="1:28" s="64" customFormat="1" x14ac:dyDescent="0.25">
      <c r="A321" s="66"/>
      <c r="B321" s="57"/>
      <c r="C321" s="57" t="s">
        <v>131</v>
      </c>
      <c r="D321" s="108" t="s">
        <v>61</v>
      </c>
      <c r="E321" s="58">
        <v>0.13800000000000001</v>
      </c>
      <c r="F321" s="58">
        <f>F318*E321</f>
        <v>8.7271199999999993</v>
      </c>
      <c r="G321" s="57">
        <v>3.2</v>
      </c>
      <c r="H321" s="57">
        <f>F321*G321</f>
        <v>27.926783999999998</v>
      </c>
      <c r="I321" s="57"/>
      <c r="J321" s="57"/>
      <c r="K321" s="57"/>
      <c r="L321" s="57"/>
      <c r="M321" s="57">
        <f t="shared" si="63"/>
        <v>27.926783999999998</v>
      </c>
      <c r="N321" s="60"/>
      <c r="O321" s="61"/>
      <c r="P321" s="62"/>
      <c r="Q321" s="106"/>
      <c r="R321" s="61"/>
      <c r="S321" s="107"/>
      <c r="AB321" s="4" t="s">
        <v>40</v>
      </c>
    </row>
    <row r="322" spans="1:28" s="64" customFormat="1" x14ac:dyDescent="0.25">
      <c r="A322" s="66"/>
      <c r="B322" s="57"/>
      <c r="C322" s="57" t="s">
        <v>132</v>
      </c>
      <c r="D322" s="57" t="s">
        <v>24</v>
      </c>
      <c r="E322" s="58">
        <v>1.05</v>
      </c>
      <c r="F322" s="58">
        <f>F318*E322</f>
        <v>66.402000000000001</v>
      </c>
      <c r="G322" s="57">
        <v>22</v>
      </c>
      <c r="H322" s="57">
        <f>F322*G322</f>
        <v>1460.8440000000001</v>
      </c>
      <c r="I322" s="57"/>
      <c r="J322" s="57"/>
      <c r="K322" s="57"/>
      <c r="L322" s="57"/>
      <c r="M322" s="57">
        <f t="shared" si="63"/>
        <v>1460.8440000000001</v>
      </c>
      <c r="N322" s="60"/>
      <c r="O322" s="61"/>
      <c r="P322" s="62"/>
      <c r="Q322" s="106"/>
      <c r="R322" s="61"/>
      <c r="AB322" s="4" t="s">
        <v>40</v>
      </c>
    </row>
    <row r="323" spans="1:28" s="64" customFormat="1" x14ac:dyDescent="0.25">
      <c r="A323" s="66"/>
      <c r="B323" s="57"/>
      <c r="C323" s="57" t="s">
        <v>129</v>
      </c>
      <c r="D323" s="57" t="s">
        <v>28</v>
      </c>
      <c r="E323" s="58">
        <v>1.07</v>
      </c>
      <c r="F323" s="58">
        <f>F318*E323</f>
        <v>67.666799999999995</v>
      </c>
      <c r="G323" s="57">
        <v>2.5</v>
      </c>
      <c r="H323" s="57">
        <f>F323*G323</f>
        <v>169.16699999999997</v>
      </c>
      <c r="I323" s="57"/>
      <c r="J323" s="57"/>
      <c r="K323" s="57"/>
      <c r="L323" s="57"/>
      <c r="M323" s="57">
        <f t="shared" si="63"/>
        <v>169.16699999999997</v>
      </c>
      <c r="N323" s="60"/>
      <c r="O323" s="61"/>
      <c r="P323" s="62"/>
      <c r="Q323" s="106"/>
      <c r="R323" s="61"/>
      <c r="AB323" s="4" t="s">
        <v>40</v>
      </c>
    </row>
    <row r="324" spans="1:28" s="64" customFormat="1" x14ac:dyDescent="0.25">
      <c r="A324" s="66"/>
      <c r="B324" s="57"/>
      <c r="C324" s="57" t="s">
        <v>74</v>
      </c>
      <c r="D324" s="57" t="s">
        <v>1</v>
      </c>
      <c r="E324" s="58">
        <v>0.107</v>
      </c>
      <c r="F324" s="58">
        <f>F318*E324</f>
        <v>6.7666799999999991</v>
      </c>
      <c r="G324" s="57">
        <v>3.2</v>
      </c>
      <c r="H324" s="57">
        <f>F324*G324</f>
        <v>21.653375999999998</v>
      </c>
      <c r="I324" s="57"/>
      <c r="J324" s="57"/>
      <c r="K324" s="57"/>
      <c r="L324" s="57"/>
      <c r="M324" s="57">
        <f t="shared" si="63"/>
        <v>21.653375999999998</v>
      </c>
      <c r="N324" s="60"/>
      <c r="O324" s="61"/>
      <c r="P324" s="62"/>
      <c r="Q324" s="106"/>
      <c r="R324" s="61"/>
      <c r="AB324" s="4" t="s">
        <v>40</v>
      </c>
    </row>
    <row r="325" spans="1:28" s="70" customFormat="1" ht="27" x14ac:dyDescent="0.25">
      <c r="A325" s="49" t="s">
        <v>39</v>
      </c>
      <c r="B325" s="48" t="s">
        <v>135</v>
      </c>
      <c r="C325" s="48" t="s">
        <v>136</v>
      </c>
      <c r="D325" s="48" t="s">
        <v>24</v>
      </c>
      <c r="E325" s="67"/>
      <c r="F325" s="78">
        <v>63.24</v>
      </c>
      <c r="G325" s="48"/>
      <c r="H325" s="48"/>
      <c r="I325" s="48"/>
      <c r="J325" s="48"/>
      <c r="K325" s="48"/>
      <c r="L325" s="48"/>
      <c r="M325" s="48"/>
      <c r="N325" s="60"/>
      <c r="O325" s="61"/>
      <c r="P325" s="62"/>
      <c r="Q325" s="111"/>
      <c r="R325" s="61"/>
      <c r="S325" s="112"/>
      <c r="AB325" s="4" t="s">
        <v>40</v>
      </c>
    </row>
    <row r="326" spans="1:28" s="70" customFormat="1" x14ac:dyDescent="0.25">
      <c r="A326" s="87"/>
      <c r="B326" s="57"/>
      <c r="C326" s="57" t="s">
        <v>104</v>
      </c>
      <c r="D326" s="77" t="s">
        <v>24</v>
      </c>
      <c r="E326" s="58">
        <f>2.61+1.1</f>
        <v>3.71</v>
      </c>
      <c r="F326" s="58">
        <f>F325*E326</f>
        <v>234.62040000000002</v>
      </c>
      <c r="G326" s="57"/>
      <c r="H326" s="57"/>
      <c r="I326" s="57">
        <v>4.5999999999999996</v>
      </c>
      <c r="J326" s="57">
        <f>F326*I326</f>
        <v>1079.2538400000001</v>
      </c>
      <c r="K326" s="57"/>
      <c r="L326" s="57"/>
      <c r="M326" s="57">
        <f>H326+J326+L326</f>
        <v>1079.2538400000001</v>
      </c>
      <c r="N326" s="60"/>
      <c r="O326" s="61"/>
      <c r="P326" s="62"/>
      <c r="Q326" s="111"/>
      <c r="R326" s="61"/>
      <c r="S326" s="112"/>
      <c r="AB326" s="4" t="s">
        <v>40</v>
      </c>
    </row>
    <row r="327" spans="1:28" s="70" customFormat="1" x14ac:dyDescent="0.25">
      <c r="A327" s="87"/>
      <c r="B327" s="57"/>
      <c r="C327" s="57" t="s">
        <v>18</v>
      </c>
      <c r="D327" s="57" t="s">
        <v>1</v>
      </c>
      <c r="E327" s="58">
        <f>0.035+0.0104</f>
        <v>4.5400000000000003E-2</v>
      </c>
      <c r="F327" s="58">
        <f>F325*E327</f>
        <v>2.8710960000000001</v>
      </c>
      <c r="G327" s="57"/>
      <c r="H327" s="57"/>
      <c r="I327" s="57"/>
      <c r="J327" s="57"/>
      <c r="K327" s="57">
        <v>3.2</v>
      </c>
      <c r="L327" s="57">
        <f>F327*K327</f>
        <v>9.1875072000000007</v>
      </c>
      <c r="M327" s="57">
        <f>H327+J327+L327</f>
        <v>9.1875072000000007</v>
      </c>
      <c r="N327" s="60"/>
      <c r="O327" s="61"/>
      <c r="P327" s="62"/>
      <c r="Q327" s="111"/>
      <c r="R327" s="61"/>
      <c r="S327" s="112"/>
      <c r="AB327" s="4" t="s">
        <v>40</v>
      </c>
    </row>
    <row r="328" spans="1:28" s="70" customFormat="1" x14ac:dyDescent="0.25">
      <c r="A328" s="87"/>
      <c r="B328" s="57"/>
      <c r="C328" s="57" t="s">
        <v>137</v>
      </c>
      <c r="D328" s="57" t="s">
        <v>24</v>
      </c>
      <c r="E328" s="58">
        <v>1.03</v>
      </c>
      <c r="F328" s="58">
        <f>F325*E328</f>
        <v>65.137200000000007</v>
      </c>
      <c r="G328" s="57">
        <v>21.5</v>
      </c>
      <c r="H328" s="57">
        <f>F328*G328</f>
        <v>1400.4498000000001</v>
      </c>
      <c r="I328" s="57"/>
      <c r="J328" s="57"/>
      <c r="K328" s="57"/>
      <c r="L328" s="57"/>
      <c r="M328" s="57">
        <f>H328+J328+L328</f>
        <v>1400.4498000000001</v>
      </c>
      <c r="N328" s="60"/>
      <c r="O328" s="61"/>
      <c r="P328" s="62"/>
      <c r="Q328" s="111"/>
      <c r="R328" s="61"/>
      <c r="S328" s="112"/>
      <c r="AB328" s="4" t="s">
        <v>40</v>
      </c>
    </row>
    <row r="329" spans="1:28" s="70" customFormat="1" x14ac:dyDescent="0.25">
      <c r="A329" s="87"/>
      <c r="B329" s="57"/>
      <c r="C329" s="57" t="s">
        <v>138</v>
      </c>
      <c r="D329" s="57" t="s">
        <v>28</v>
      </c>
      <c r="E329" s="58">
        <v>3.6669999999999998</v>
      </c>
      <c r="F329" s="58">
        <f>F325*E329</f>
        <v>231.90108000000001</v>
      </c>
      <c r="G329" s="57">
        <v>3.5</v>
      </c>
      <c r="H329" s="57">
        <f>F329*G329</f>
        <v>811.65377999999998</v>
      </c>
      <c r="I329" s="57"/>
      <c r="J329" s="57"/>
      <c r="K329" s="57"/>
      <c r="L329" s="57"/>
      <c r="M329" s="57">
        <f>H329+J329+L329</f>
        <v>811.65377999999998</v>
      </c>
      <c r="N329" s="60"/>
      <c r="O329" s="61"/>
      <c r="P329" s="62"/>
      <c r="Q329" s="111"/>
      <c r="R329" s="61"/>
      <c r="S329" s="112"/>
      <c r="AB329" s="4" t="s">
        <v>40</v>
      </c>
    </row>
    <row r="330" spans="1:28" s="70" customFormat="1" x14ac:dyDescent="0.25">
      <c r="A330" s="87"/>
      <c r="B330" s="57"/>
      <c r="C330" s="57" t="s">
        <v>74</v>
      </c>
      <c r="D330" s="57" t="s">
        <v>1</v>
      </c>
      <c r="E330" s="58">
        <f>0.389+0.163</f>
        <v>0.55200000000000005</v>
      </c>
      <c r="F330" s="58">
        <f>F325*E330</f>
        <v>34.908480000000004</v>
      </c>
      <c r="G330" s="57">
        <v>3.2</v>
      </c>
      <c r="H330" s="57">
        <f>F330*G330</f>
        <v>111.70713600000002</v>
      </c>
      <c r="I330" s="57"/>
      <c r="J330" s="57"/>
      <c r="K330" s="57"/>
      <c r="L330" s="57"/>
      <c r="M330" s="57">
        <f>H330+J330+L330</f>
        <v>111.70713600000002</v>
      </c>
      <c r="N330" s="60"/>
      <c r="O330" s="61"/>
      <c r="P330" s="62"/>
      <c r="Q330" s="111"/>
      <c r="R330" s="61"/>
      <c r="S330" s="112"/>
      <c r="AB330" s="4" t="s">
        <v>40</v>
      </c>
    </row>
    <row r="331" spans="1:28" ht="27" x14ac:dyDescent="0.25">
      <c r="A331" s="49" t="s">
        <v>39</v>
      </c>
      <c r="B331" s="151"/>
      <c r="C331" s="134" t="s">
        <v>230</v>
      </c>
      <c r="D331" s="142"/>
      <c r="E331" s="113"/>
      <c r="F331" s="149"/>
      <c r="G331" s="114"/>
      <c r="H331" s="115"/>
      <c r="I331" s="116"/>
      <c r="J331" s="114"/>
      <c r="K331" s="116"/>
      <c r="L331" s="115"/>
      <c r="M331" s="116"/>
      <c r="AB331" s="4" t="s">
        <v>40</v>
      </c>
    </row>
    <row r="332" spans="1:28" s="70" customFormat="1" ht="27" x14ac:dyDescent="0.25">
      <c r="A332" s="49" t="s">
        <v>39</v>
      </c>
      <c r="B332" s="123" t="s">
        <v>161</v>
      </c>
      <c r="C332" s="132" t="s">
        <v>215</v>
      </c>
      <c r="D332" s="124" t="s">
        <v>67</v>
      </c>
      <c r="E332" s="125"/>
      <c r="F332" s="125">
        <f>4.6*3.25*0.2*1.1</f>
        <v>3.2890000000000006</v>
      </c>
      <c r="G332" s="125"/>
      <c r="H332" s="80"/>
      <c r="I332" s="125"/>
      <c r="J332" s="80"/>
      <c r="K332" s="57"/>
      <c r="L332" s="80"/>
      <c r="M332" s="125"/>
      <c r="N332" s="60"/>
      <c r="O332" s="61"/>
      <c r="P332" s="62"/>
      <c r="Q332" s="63"/>
      <c r="R332" s="61"/>
      <c r="S332" s="71"/>
      <c r="AB332" s="4" t="s">
        <v>40</v>
      </c>
    </row>
    <row r="333" spans="1:28" s="70" customFormat="1" x14ac:dyDescent="0.25">
      <c r="A333" s="76"/>
      <c r="B333" s="123"/>
      <c r="C333" s="131" t="s">
        <v>77</v>
      </c>
      <c r="D333" s="77" t="s">
        <v>67</v>
      </c>
      <c r="E333" s="126">
        <v>1</v>
      </c>
      <c r="F333" s="127">
        <f>F332*E333</f>
        <v>3.2890000000000006</v>
      </c>
      <c r="G333" s="127"/>
      <c r="H333" s="80"/>
      <c r="I333" s="57">
        <v>62.5</v>
      </c>
      <c r="J333" s="57">
        <f t="shared" ref="J333" si="64">I333*F333</f>
        <v>205.56250000000003</v>
      </c>
      <c r="K333" s="57"/>
      <c r="L333" s="80"/>
      <c r="M333" s="127">
        <f>H333+J333+L333</f>
        <v>205.56250000000003</v>
      </c>
      <c r="N333" s="60"/>
      <c r="O333" s="61"/>
      <c r="P333" s="62"/>
      <c r="Q333" s="111"/>
      <c r="R333" s="61"/>
      <c r="S333" s="128"/>
      <c r="AB333" s="4" t="s">
        <v>40</v>
      </c>
    </row>
    <row r="334" spans="1:28" s="70" customFormat="1" x14ac:dyDescent="0.25">
      <c r="A334" s="76"/>
      <c r="B334" s="124"/>
      <c r="C334" s="131" t="s">
        <v>34</v>
      </c>
      <c r="D334" s="129" t="s">
        <v>1</v>
      </c>
      <c r="E334" s="126">
        <v>1.8</v>
      </c>
      <c r="F334" s="127">
        <f>E334*F332</f>
        <v>5.9202000000000012</v>
      </c>
      <c r="G334" s="127"/>
      <c r="H334" s="80"/>
      <c r="I334" s="127"/>
      <c r="J334" s="80"/>
      <c r="K334" s="57">
        <v>3.2</v>
      </c>
      <c r="L334" s="80">
        <f t="shared" ref="L334" si="65">K334*F334</f>
        <v>18.944640000000003</v>
      </c>
      <c r="M334" s="127">
        <f>H334+J334+L334</f>
        <v>18.944640000000003</v>
      </c>
      <c r="N334" s="60"/>
      <c r="O334" s="61"/>
      <c r="P334" s="62"/>
      <c r="Q334" s="111"/>
      <c r="R334" s="61"/>
      <c r="S334" s="128"/>
      <c r="AB334" s="4" t="s">
        <v>40</v>
      </c>
    </row>
    <row r="335" spans="1:28" s="70" customFormat="1" ht="40.5" x14ac:dyDescent="0.25">
      <c r="A335" s="49" t="s">
        <v>39</v>
      </c>
      <c r="B335" s="68" t="s">
        <v>162</v>
      </c>
      <c r="C335" s="68" t="s">
        <v>233</v>
      </c>
      <c r="D335" s="48" t="s">
        <v>67</v>
      </c>
      <c r="E335" s="67"/>
      <c r="F335" s="48">
        <f>0.2*1.35*3.25*1.1</f>
        <v>0.96525000000000016</v>
      </c>
      <c r="G335" s="79"/>
      <c r="H335" s="80"/>
      <c r="I335" s="57"/>
      <c r="J335" s="80"/>
      <c r="K335" s="80"/>
      <c r="L335" s="80"/>
      <c r="M335" s="57"/>
      <c r="N335" s="60"/>
      <c r="O335" s="61"/>
      <c r="P335" s="62"/>
      <c r="Q335" s="62"/>
      <c r="R335" s="61"/>
      <c r="S335" s="71"/>
      <c r="AB335" s="4" t="s">
        <v>40</v>
      </c>
    </row>
    <row r="336" spans="1:28" s="70" customFormat="1" x14ac:dyDescent="0.25">
      <c r="A336" s="55"/>
      <c r="B336" s="56"/>
      <c r="C336" s="55" t="s">
        <v>30</v>
      </c>
      <c r="D336" s="77" t="s">
        <v>67</v>
      </c>
      <c r="E336" s="58">
        <v>3.36</v>
      </c>
      <c r="F336" s="57">
        <f>F335*E336</f>
        <v>3.2432400000000006</v>
      </c>
      <c r="G336" s="30"/>
      <c r="H336" s="80"/>
      <c r="I336" s="30">
        <v>50</v>
      </c>
      <c r="J336" s="57">
        <f t="shared" ref="J336" si="66">I336*F336</f>
        <v>162.16200000000003</v>
      </c>
      <c r="K336" s="30"/>
      <c r="L336" s="80"/>
      <c r="M336" s="30">
        <f>H336+J336+L336</f>
        <v>162.16200000000003</v>
      </c>
      <c r="N336" s="60"/>
      <c r="O336" s="61"/>
      <c r="P336" s="62"/>
      <c r="Q336" s="63"/>
      <c r="R336" s="61"/>
      <c r="S336" s="71"/>
      <c r="AB336" s="4" t="s">
        <v>40</v>
      </c>
    </row>
    <row r="337" spans="1:28" s="70" customFormat="1" x14ac:dyDescent="0.25">
      <c r="A337" s="55"/>
      <c r="B337" s="73"/>
      <c r="C337" s="55" t="s">
        <v>141</v>
      </c>
      <c r="D337" s="57" t="s">
        <v>1</v>
      </c>
      <c r="E337" s="58">
        <v>0.92</v>
      </c>
      <c r="F337" s="57">
        <f>F335*E337</f>
        <v>0.88803000000000021</v>
      </c>
      <c r="G337" s="30"/>
      <c r="H337" s="80"/>
      <c r="I337" s="30"/>
      <c r="J337" s="80"/>
      <c r="K337" s="30">
        <v>3.2</v>
      </c>
      <c r="L337" s="80">
        <f t="shared" ref="L337" si="67">K337*F337</f>
        <v>2.8416960000000007</v>
      </c>
      <c r="M337" s="30">
        <f>H337+J337+L337</f>
        <v>2.8416960000000007</v>
      </c>
      <c r="N337" s="60"/>
      <c r="O337" s="61"/>
      <c r="P337" s="62"/>
      <c r="Q337" s="63"/>
      <c r="R337" s="61"/>
      <c r="S337" s="71"/>
      <c r="AB337" s="4" t="s">
        <v>40</v>
      </c>
    </row>
    <row r="338" spans="1:28" s="70" customFormat="1" x14ac:dyDescent="0.25">
      <c r="A338" s="55"/>
      <c r="B338" s="73"/>
      <c r="C338" s="55" t="s">
        <v>163</v>
      </c>
      <c r="D338" s="57" t="s">
        <v>67</v>
      </c>
      <c r="E338" s="58">
        <v>0.11</v>
      </c>
      <c r="F338" s="57">
        <f>F335*E338</f>
        <v>0.10617750000000002</v>
      </c>
      <c r="G338" s="30">
        <v>85</v>
      </c>
      <c r="H338" s="80">
        <f t="shared" ref="H338:H340" si="68">G338*F338</f>
        <v>9.0250875000000015</v>
      </c>
      <c r="I338" s="30"/>
      <c r="J338" s="80"/>
      <c r="K338" s="30"/>
      <c r="L338" s="80"/>
      <c r="M338" s="30">
        <f>H338+J338+L338</f>
        <v>9.0250875000000015</v>
      </c>
      <c r="N338" s="60"/>
      <c r="O338" s="61"/>
      <c r="P338" s="62"/>
      <c r="Q338" s="63"/>
      <c r="R338" s="61"/>
      <c r="S338" s="71"/>
      <c r="AB338" s="4" t="s">
        <v>40</v>
      </c>
    </row>
    <row r="339" spans="1:28" s="70" customFormat="1" x14ac:dyDescent="0.25">
      <c r="A339" s="55"/>
      <c r="B339" s="73"/>
      <c r="C339" s="55" t="s">
        <v>164</v>
      </c>
      <c r="D339" s="57" t="s">
        <v>67</v>
      </c>
      <c r="E339" s="58">
        <v>0.92</v>
      </c>
      <c r="F339" s="57">
        <f>F335*E339</f>
        <v>0.88803000000000021</v>
      </c>
      <c r="G339" s="30">
        <v>68.75</v>
      </c>
      <c r="H339" s="80">
        <f t="shared" si="68"/>
        <v>61.052062500000012</v>
      </c>
      <c r="I339" s="30"/>
      <c r="J339" s="80"/>
      <c r="K339" s="30"/>
      <c r="L339" s="80"/>
      <c r="M339" s="30">
        <f>H339+J339+L339</f>
        <v>61.052062500000012</v>
      </c>
      <c r="N339" s="60"/>
      <c r="O339" s="61"/>
      <c r="P339" s="62"/>
      <c r="Q339" s="63"/>
      <c r="R339" s="61"/>
      <c r="S339" s="71"/>
      <c r="AB339" s="4" t="s">
        <v>40</v>
      </c>
    </row>
    <row r="340" spans="1:28" s="70" customFormat="1" x14ac:dyDescent="0.25">
      <c r="A340" s="55"/>
      <c r="B340" s="73"/>
      <c r="C340" s="55" t="s">
        <v>74</v>
      </c>
      <c r="D340" s="57" t="s">
        <v>1</v>
      </c>
      <c r="E340" s="58">
        <v>0.16</v>
      </c>
      <c r="F340" s="57">
        <f>F335*E340</f>
        <v>0.15444000000000002</v>
      </c>
      <c r="G340" s="30">
        <v>3.2</v>
      </c>
      <c r="H340" s="80">
        <f t="shared" si="68"/>
        <v>0.49420800000000009</v>
      </c>
      <c r="I340" s="30"/>
      <c r="J340" s="80"/>
      <c r="K340" s="30"/>
      <c r="L340" s="80"/>
      <c r="M340" s="30">
        <f>H340+J340+L340</f>
        <v>0.49420800000000009</v>
      </c>
      <c r="N340" s="60"/>
      <c r="O340" s="61"/>
      <c r="P340" s="62"/>
      <c r="Q340" s="63"/>
      <c r="R340" s="61"/>
      <c r="S340" s="71"/>
      <c r="AB340" s="4" t="s">
        <v>40</v>
      </c>
    </row>
    <row r="341" spans="1:28" s="70" customFormat="1" ht="40.5" x14ac:dyDescent="0.25">
      <c r="A341" s="49" t="s">
        <v>39</v>
      </c>
      <c r="B341" s="123" t="s">
        <v>234</v>
      </c>
      <c r="C341" s="124" t="s">
        <v>235</v>
      </c>
      <c r="D341" s="124" t="s">
        <v>25</v>
      </c>
      <c r="E341" s="133"/>
      <c r="F341" s="125">
        <f>8*1.1</f>
        <v>8.8000000000000007</v>
      </c>
      <c r="G341" s="125"/>
      <c r="H341" s="80"/>
      <c r="I341" s="125"/>
      <c r="J341" s="80"/>
      <c r="K341" s="57"/>
      <c r="L341" s="80"/>
      <c r="M341" s="125"/>
      <c r="N341" s="60"/>
      <c r="O341" s="61"/>
      <c r="P341" s="62"/>
      <c r="Q341" s="111"/>
      <c r="R341" s="61"/>
      <c r="S341" s="128"/>
      <c r="AB341" s="4" t="s">
        <v>40</v>
      </c>
    </row>
    <row r="342" spans="1:28" s="70" customFormat="1" x14ac:dyDescent="0.25">
      <c r="A342" s="76"/>
      <c r="B342" s="123"/>
      <c r="C342" s="76" t="s">
        <v>86</v>
      </c>
      <c r="D342" s="77" t="s">
        <v>25</v>
      </c>
      <c r="E342" s="126">
        <v>1</v>
      </c>
      <c r="F342" s="127">
        <f>E342*F341</f>
        <v>8.8000000000000007</v>
      </c>
      <c r="G342" s="127"/>
      <c r="H342" s="80"/>
      <c r="I342" s="57">
        <v>6.25</v>
      </c>
      <c r="J342" s="57">
        <f t="shared" ref="J342" si="69">I342*F342</f>
        <v>55.000000000000007</v>
      </c>
      <c r="K342" s="57"/>
      <c r="L342" s="80"/>
      <c r="M342" s="127">
        <f>H342+J342+L342</f>
        <v>55.000000000000007</v>
      </c>
      <c r="N342" s="60"/>
      <c r="O342" s="61"/>
      <c r="P342" s="62"/>
      <c r="Q342" s="111"/>
      <c r="R342" s="61"/>
      <c r="S342" s="128"/>
      <c r="AB342" s="4" t="s">
        <v>40</v>
      </c>
    </row>
    <row r="343" spans="1:28" s="70" customFormat="1" x14ac:dyDescent="0.25">
      <c r="A343" s="76"/>
      <c r="B343" s="124"/>
      <c r="C343" s="76" t="s">
        <v>34</v>
      </c>
      <c r="D343" s="129" t="s">
        <v>1</v>
      </c>
      <c r="E343" s="126">
        <f>49.34/100</f>
        <v>0.49340000000000006</v>
      </c>
      <c r="F343" s="127">
        <f>E343*F341</f>
        <v>4.3419200000000009</v>
      </c>
      <c r="G343" s="127"/>
      <c r="H343" s="80"/>
      <c r="I343" s="127"/>
      <c r="J343" s="80"/>
      <c r="K343" s="57">
        <v>3.2</v>
      </c>
      <c r="L343" s="80">
        <f t="shared" ref="L343" si="70">K343*F343</f>
        <v>13.894144000000004</v>
      </c>
      <c r="M343" s="127">
        <f>L343+J343+H343</f>
        <v>13.894144000000004</v>
      </c>
      <c r="N343" s="60"/>
      <c r="O343" s="61"/>
      <c r="P343" s="62"/>
      <c r="Q343" s="111"/>
      <c r="R343" s="61"/>
      <c r="S343" s="128"/>
      <c r="AB343" s="4" t="s">
        <v>40</v>
      </c>
    </row>
    <row r="344" spans="1:28" s="71" customFormat="1" ht="27" x14ac:dyDescent="0.25">
      <c r="A344" s="49" t="s">
        <v>39</v>
      </c>
      <c r="B344" s="67" t="s">
        <v>236</v>
      </c>
      <c r="C344" s="67" t="s">
        <v>237</v>
      </c>
      <c r="D344" s="67" t="s">
        <v>28</v>
      </c>
      <c r="E344" s="67"/>
      <c r="F344" s="67">
        <f>25*1.1</f>
        <v>27.500000000000004</v>
      </c>
      <c r="G344" s="48"/>
      <c r="H344" s="80"/>
      <c r="I344" s="48"/>
      <c r="J344" s="80"/>
      <c r="K344" s="48"/>
      <c r="L344" s="80"/>
      <c r="M344" s="48"/>
      <c r="N344" s="60"/>
      <c r="O344" s="61"/>
      <c r="P344" s="62"/>
      <c r="Q344" s="62"/>
      <c r="R344" s="61"/>
      <c r="S344" s="135"/>
      <c r="AB344" s="4" t="s">
        <v>40</v>
      </c>
    </row>
    <row r="345" spans="1:28" s="71" customFormat="1" x14ac:dyDescent="0.25">
      <c r="A345" s="77"/>
      <c r="B345" s="55"/>
      <c r="C345" s="55" t="s">
        <v>30</v>
      </c>
      <c r="D345" s="77" t="s">
        <v>28</v>
      </c>
      <c r="E345" s="82">
        <v>1</v>
      </c>
      <c r="F345" s="82">
        <f>E345*F344</f>
        <v>27.500000000000004</v>
      </c>
      <c r="G345" s="80"/>
      <c r="H345" s="80"/>
      <c r="I345" s="57">
        <v>3</v>
      </c>
      <c r="J345" s="57">
        <f t="shared" ref="J345" si="71">I345*F345</f>
        <v>82.500000000000014</v>
      </c>
      <c r="K345" s="80"/>
      <c r="L345" s="80"/>
      <c r="M345" s="57">
        <f>L345+J345+H345</f>
        <v>82.500000000000014</v>
      </c>
      <c r="N345" s="60"/>
      <c r="O345" s="61"/>
      <c r="P345" s="62"/>
      <c r="Q345" s="61"/>
      <c r="R345" s="61"/>
      <c r="S345" s="70"/>
      <c r="AB345" s="4" t="s">
        <v>40</v>
      </c>
    </row>
    <row r="346" spans="1:28" s="71" customFormat="1" x14ac:dyDescent="0.25">
      <c r="A346" s="77"/>
      <c r="B346" s="55"/>
      <c r="C346" s="55" t="s">
        <v>18</v>
      </c>
      <c r="D346" s="77" t="s">
        <v>1</v>
      </c>
      <c r="E346" s="82">
        <v>4.5999999999999999E-3</v>
      </c>
      <c r="F346" s="82">
        <f>E346*F344</f>
        <v>0.1265</v>
      </c>
      <c r="G346" s="80"/>
      <c r="H346" s="80"/>
      <c r="I346" s="57"/>
      <c r="J346" s="80"/>
      <c r="K346" s="80">
        <v>3.2</v>
      </c>
      <c r="L346" s="80">
        <f t="shared" ref="L346" si="72">K346*F346</f>
        <v>0.40480000000000005</v>
      </c>
      <c r="M346" s="57">
        <f>L346+J346+H346</f>
        <v>0.40480000000000005</v>
      </c>
      <c r="N346" s="60"/>
      <c r="O346" s="61"/>
      <c r="P346" s="62"/>
      <c r="Q346" s="61"/>
      <c r="R346" s="61"/>
      <c r="S346" s="70"/>
      <c r="AB346" s="4" t="s">
        <v>40</v>
      </c>
    </row>
    <row r="347" spans="1:28" s="70" customFormat="1" x14ac:dyDescent="0.25">
      <c r="A347" s="77"/>
      <c r="B347" s="55"/>
      <c r="C347" s="55" t="s">
        <v>238</v>
      </c>
      <c r="D347" s="77" t="s">
        <v>25</v>
      </c>
      <c r="E347" s="82">
        <v>0.998</v>
      </c>
      <c r="F347" s="82">
        <f>E347*F344</f>
        <v>27.445000000000004</v>
      </c>
      <c r="G347" s="80">
        <v>5.0999999999999996</v>
      </c>
      <c r="H347" s="80">
        <f t="shared" ref="H347:H349" si="73">G347*F347</f>
        <v>139.96950000000001</v>
      </c>
      <c r="I347" s="57"/>
      <c r="J347" s="80"/>
      <c r="K347" s="80"/>
      <c r="L347" s="80"/>
      <c r="M347" s="57">
        <f>L347+J347+H347</f>
        <v>139.96950000000001</v>
      </c>
      <c r="N347" s="60"/>
      <c r="O347" s="61"/>
      <c r="P347" s="62"/>
      <c r="Q347" s="61"/>
      <c r="R347" s="61"/>
      <c r="AB347" s="4" t="s">
        <v>40</v>
      </c>
    </row>
    <row r="348" spans="1:28" s="70" customFormat="1" x14ac:dyDescent="0.25">
      <c r="A348" s="77"/>
      <c r="B348" s="55"/>
      <c r="C348" s="55" t="s">
        <v>239</v>
      </c>
      <c r="D348" s="77" t="s">
        <v>61</v>
      </c>
      <c r="E348" s="82">
        <v>0.23499999999999999</v>
      </c>
      <c r="F348" s="82">
        <f>E348*F344</f>
        <v>6.4625000000000004</v>
      </c>
      <c r="G348" s="80">
        <v>2.5</v>
      </c>
      <c r="H348" s="80">
        <f t="shared" si="73"/>
        <v>16.15625</v>
      </c>
      <c r="I348" s="57"/>
      <c r="J348" s="80"/>
      <c r="K348" s="80"/>
      <c r="L348" s="80"/>
      <c r="M348" s="57">
        <f>L348+J348+H348</f>
        <v>16.15625</v>
      </c>
      <c r="N348" s="60"/>
      <c r="O348" s="61"/>
      <c r="P348" s="62"/>
      <c r="Q348" s="61"/>
      <c r="R348" s="61"/>
      <c r="AB348" s="4" t="s">
        <v>40</v>
      </c>
    </row>
    <row r="349" spans="1:28" s="70" customFormat="1" x14ac:dyDescent="0.25">
      <c r="A349" s="77"/>
      <c r="B349" s="55"/>
      <c r="C349" s="55" t="s">
        <v>43</v>
      </c>
      <c r="D349" s="77" t="s">
        <v>1</v>
      </c>
      <c r="E349" s="82">
        <v>0.20799999999999999</v>
      </c>
      <c r="F349" s="82">
        <f>E349*F344</f>
        <v>5.7200000000000006</v>
      </c>
      <c r="G349" s="80">
        <v>3.2</v>
      </c>
      <c r="H349" s="80">
        <f t="shared" si="73"/>
        <v>18.304000000000002</v>
      </c>
      <c r="I349" s="57"/>
      <c r="J349" s="80"/>
      <c r="K349" s="80"/>
      <c r="L349" s="80"/>
      <c r="M349" s="57">
        <f>L349+J349+H349</f>
        <v>18.304000000000002</v>
      </c>
      <c r="N349" s="60"/>
      <c r="O349" s="61"/>
      <c r="P349" s="62"/>
      <c r="Q349" s="61"/>
      <c r="R349" s="61"/>
      <c r="AB349" s="4" t="s">
        <v>40</v>
      </c>
    </row>
    <row r="350" spans="1:28" s="128" customFormat="1" ht="27" x14ac:dyDescent="0.25">
      <c r="A350" s="49" t="s">
        <v>39</v>
      </c>
      <c r="B350" s="68" t="s">
        <v>188</v>
      </c>
      <c r="C350" s="68" t="s">
        <v>246</v>
      </c>
      <c r="D350" s="83" t="s">
        <v>28</v>
      </c>
      <c r="E350" s="78"/>
      <c r="F350" s="78">
        <f>25*1.1</f>
        <v>27.500000000000004</v>
      </c>
      <c r="G350" s="79"/>
      <c r="H350" s="80"/>
      <c r="I350" s="57"/>
      <c r="J350" s="80"/>
      <c r="K350" s="80"/>
      <c r="L350" s="80"/>
      <c r="M350" s="57"/>
      <c r="N350" s="60"/>
      <c r="O350" s="61"/>
      <c r="P350" s="62"/>
      <c r="Q350" s="62"/>
      <c r="R350" s="61"/>
      <c r="S350" s="70"/>
      <c r="AB350" s="4" t="s">
        <v>40</v>
      </c>
    </row>
    <row r="351" spans="1:28" s="128" customFormat="1" x14ac:dyDescent="0.25">
      <c r="A351" s="77"/>
      <c r="B351" s="55"/>
      <c r="C351" s="55" t="s">
        <v>30</v>
      </c>
      <c r="D351" s="77" t="s">
        <v>28</v>
      </c>
      <c r="E351" s="82">
        <v>1</v>
      </c>
      <c r="F351" s="82">
        <f>E351*F350</f>
        <v>27.500000000000004</v>
      </c>
      <c r="G351" s="80"/>
      <c r="H351" s="80"/>
      <c r="I351" s="57">
        <v>3.5</v>
      </c>
      <c r="J351" s="57">
        <f t="shared" ref="J351" si="74">I351*F351</f>
        <v>96.250000000000014</v>
      </c>
      <c r="K351" s="80"/>
      <c r="L351" s="80"/>
      <c r="M351" s="57">
        <f t="shared" ref="M351:M360" si="75">L351+J351+H351</f>
        <v>96.250000000000014</v>
      </c>
      <c r="N351" s="60"/>
      <c r="O351" s="61"/>
      <c r="P351" s="62"/>
      <c r="Q351" s="61"/>
      <c r="R351" s="61"/>
      <c r="S351" s="70"/>
      <c r="AB351" s="4" t="s">
        <v>40</v>
      </c>
    </row>
    <row r="352" spans="1:28" s="128" customFormat="1" x14ac:dyDescent="0.25">
      <c r="A352" s="77"/>
      <c r="B352" s="55"/>
      <c r="C352" s="55" t="s">
        <v>98</v>
      </c>
      <c r="D352" s="77" t="s">
        <v>1</v>
      </c>
      <c r="E352" s="82">
        <v>2.5700000000000001E-2</v>
      </c>
      <c r="F352" s="82">
        <f>E352*F350</f>
        <v>0.7067500000000001</v>
      </c>
      <c r="G352" s="80"/>
      <c r="H352" s="80"/>
      <c r="I352" s="57"/>
      <c r="J352" s="80"/>
      <c r="K352" s="80">
        <v>3.2</v>
      </c>
      <c r="L352" s="80">
        <f t="shared" ref="L352" si="76">K352*F352</f>
        <v>2.2616000000000005</v>
      </c>
      <c r="M352" s="57">
        <f t="shared" si="75"/>
        <v>2.2616000000000005</v>
      </c>
      <c r="N352" s="60"/>
      <c r="O352" s="61"/>
      <c r="P352" s="62"/>
      <c r="Q352" s="61"/>
      <c r="R352" s="61"/>
      <c r="S352" s="70"/>
      <c r="AB352" s="4" t="s">
        <v>40</v>
      </c>
    </row>
    <row r="353" spans="1:28" s="128" customFormat="1" x14ac:dyDescent="0.25">
      <c r="A353" s="77"/>
      <c r="B353" s="55"/>
      <c r="C353" s="55" t="s">
        <v>240</v>
      </c>
      <c r="D353" s="77" t="s">
        <v>28</v>
      </c>
      <c r="E353" s="82">
        <v>0.92900000000000005</v>
      </c>
      <c r="F353" s="82">
        <f>E353*F350</f>
        <v>25.547500000000003</v>
      </c>
      <c r="G353" s="80">
        <v>0.8</v>
      </c>
      <c r="H353" s="80">
        <f t="shared" ref="H353:H360" si="77">G353*F353</f>
        <v>20.438000000000002</v>
      </c>
      <c r="I353" s="57"/>
      <c r="J353" s="80"/>
      <c r="K353" s="80"/>
      <c r="L353" s="80"/>
      <c r="M353" s="57">
        <f t="shared" si="75"/>
        <v>20.438000000000002</v>
      </c>
      <c r="N353" s="60"/>
      <c r="O353" s="61"/>
      <c r="P353" s="62"/>
      <c r="Q353" s="61"/>
      <c r="R353" s="61"/>
      <c r="S353" s="70"/>
      <c r="AB353" s="4" t="s">
        <v>40</v>
      </c>
    </row>
    <row r="354" spans="1:28" s="128" customFormat="1" x14ac:dyDescent="0.25">
      <c r="A354" s="77"/>
      <c r="B354" s="55"/>
      <c r="C354" s="55" t="s">
        <v>241</v>
      </c>
      <c r="D354" s="77" t="s">
        <v>25</v>
      </c>
      <c r="E354" s="82">
        <v>1</v>
      </c>
      <c r="F354" s="82">
        <f>E354*F350</f>
        <v>27.500000000000004</v>
      </c>
      <c r="G354" s="80">
        <v>0.25</v>
      </c>
      <c r="H354" s="80">
        <f t="shared" si="77"/>
        <v>6.8750000000000009</v>
      </c>
      <c r="I354" s="57"/>
      <c r="J354" s="80"/>
      <c r="K354" s="80"/>
      <c r="L354" s="80"/>
      <c r="M354" s="57">
        <f t="shared" si="75"/>
        <v>6.8750000000000009</v>
      </c>
      <c r="N354" s="60"/>
      <c r="O354" s="61"/>
      <c r="P354" s="62"/>
      <c r="Q354" s="61"/>
      <c r="R354" s="61"/>
      <c r="S354" s="70"/>
      <c r="AB354" s="4" t="s">
        <v>40</v>
      </c>
    </row>
    <row r="355" spans="1:28" s="128" customFormat="1" x14ac:dyDescent="0.25">
      <c r="A355" s="77"/>
      <c r="B355" s="55"/>
      <c r="C355" s="55" t="s">
        <v>242</v>
      </c>
      <c r="D355" s="77" t="s">
        <v>25</v>
      </c>
      <c r="E355" s="82">
        <v>1</v>
      </c>
      <c r="F355" s="82">
        <f>E355*F350</f>
        <v>27.500000000000004</v>
      </c>
      <c r="G355" s="80">
        <v>0.2</v>
      </c>
      <c r="H355" s="80">
        <f t="shared" si="77"/>
        <v>5.5000000000000009</v>
      </c>
      <c r="I355" s="57"/>
      <c r="J355" s="80"/>
      <c r="K355" s="80"/>
      <c r="L355" s="80"/>
      <c r="M355" s="57">
        <f t="shared" si="75"/>
        <v>5.5000000000000009</v>
      </c>
      <c r="N355" s="60"/>
      <c r="O355" s="61"/>
      <c r="P355" s="62"/>
      <c r="Q355" s="61"/>
      <c r="R355" s="61"/>
      <c r="S355" s="70"/>
      <c r="AB355" s="4" t="s">
        <v>40</v>
      </c>
    </row>
    <row r="356" spans="1:28" s="128" customFormat="1" x14ac:dyDescent="0.25">
      <c r="A356" s="77"/>
      <c r="B356" s="55"/>
      <c r="C356" s="55" t="s">
        <v>243</v>
      </c>
      <c r="D356" s="77" t="s">
        <v>25</v>
      </c>
      <c r="E356" s="82">
        <v>1</v>
      </c>
      <c r="F356" s="82">
        <f>E356*F350</f>
        <v>27.500000000000004</v>
      </c>
      <c r="G356" s="80">
        <v>0.3</v>
      </c>
      <c r="H356" s="80">
        <f t="shared" si="77"/>
        <v>8.25</v>
      </c>
      <c r="I356" s="57"/>
      <c r="J356" s="80"/>
      <c r="K356" s="80"/>
      <c r="L356" s="80"/>
      <c r="M356" s="57">
        <f t="shared" si="75"/>
        <v>8.25</v>
      </c>
      <c r="N356" s="60"/>
      <c r="O356" s="61"/>
      <c r="P356" s="62"/>
      <c r="Q356" s="61"/>
      <c r="R356" s="61"/>
      <c r="S356" s="70"/>
      <c r="AB356" s="4" t="s">
        <v>40</v>
      </c>
    </row>
    <row r="357" spans="1:28" s="128" customFormat="1" x14ac:dyDescent="0.25">
      <c r="A357" s="77"/>
      <c r="B357" s="55"/>
      <c r="C357" s="55" t="s">
        <v>244</v>
      </c>
      <c r="D357" s="77" t="s">
        <v>25</v>
      </c>
      <c r="E357" s="82">
        <v>1</v>
      </c>
      <c r="F357" s="82">
        <f>E357*F350</f>
        <v>27.500000000000004</v>
      </c>
      <c r="G357" s="80">
        <v>0.3</v>
      </c>
      <c r="H357" s="80">
        <f t="shared" si="77"/>
        <v>8.25</v>
      </c>
      <c r="I357" s="57"/>
      <c r="J357" s="80"/>
      <c r="K357" s="80"/>
      <c r="L357" s="80"/>
      <c r="M357" s="57">
        <f t="shared" si="75"/>
        <v>8.25</v>
      </c>
      <c r="N357" s="60"/>
      <c r="O357" s="61"/>
      <c r="P357" s="62"/>
      <c r="Q357" s="61"/>
      <c r="R357" s="61"/>
      <c r="S357" s="70"/>
      <c r="AB357" s="4" t="s">
        <v>40</v>
      </c>
    </row>
    <row r="358" spans="1:28" s="128" customFormat="1" x14ac:dyDescent="0.25">
      <c r="A358" s="77"/>
      <c r="B358" s="55"/>
      <c r="C358" s="55" t="s">
        <v>245</v>
      </c>
      <c r="D358" s="77" t="s">
        <v>25</v>
      </c>
      <c r="E358" s="82">
        <v>1</v>
      </c>
      <c r="F358" s="82">
        <f>E358*F350</f>
        <v>27.500000000000004</v>
      </c>
      <c r="G358" s="80">
        <v>0.35</v>
      </c>
      <c r="H358" s="80">
        <f t="shared" si="77"/>
        <v>9.625</v>
      </c>
      <c r="I358" s="57"/>
      <c r="J358" s="80"/>
      <c r="K358" s="80"/>
      <c r="L358" s="80"/>
      <c r="M358" s="57">
        <f t="shared" si="75"/>
        <v>9.625</v>
      </c>
      <c r="N358" s="60"/>
      <c r="O358" s="61"/>
      <c r="P358" s="62"/>
      <c r="Q358" s="61"/>
      <c r="R358" s="61"/>
      <c r="S358" s="70"/>
      <c r="AB358" s="4" t="s">
        <v>40</v>
      </c>
    </row>
    <row r="359" spans="1:28" s="128" customFormat="1" x14ac:dyDescent="0.25">
      <c r="A359" s="77"/>
      <c r="B359" s="55"/>
      <c r="C359" s="55" t="s">
        <v>239</v>
      </c>
      <c r="D359" s="77" t="s">
        <v>61</v>
      </c>
      <c r="E359" s="82">
        <v>1</v>
      </c>
      <c r="F359" s="82">
        <f>E359*F350</f>
        <v>27.500000000000004</v>
      </c>
      <c r="G359" s="80">
        <v>0.6</v>
      </c>
      <c r="H359" s="80">
        <f t="shared" si="77"/>
        <v>16.5</v>
      </c>
      <c r="I359" s="57"/>
      <c r="J359" s="80"/>
      <c r="K359" s="80"/>
      <c r="L359" s="80"/>
      <c r="M359" s="57">
        <f t="shared" si="75"/>
        <v>16.5</v>
      </c>
      <c r="N359" s="60"/>
      <c r="O359" s="61"/>
      <c r="P359" s="62"/>
      <c r="Q359" s="61"/>
      <c r="R359" s="61"/>
      <c r="S359" s="70"/>
      <c r="AB359" s="4" t="s">
        <v>40</v>
      </c>
    </row>
    <row r="360" spans="1:28" s="128" customFormat="1" x14ac:dyDescent="0.25">
      <c r="A360" s="77"/>
      <c r="B360" s="55"/>
      <c r="C360" s="55" t="s">
        <v>43</v>
      </c>
      <c r="D360" s="77" t="s">
        <v>1</v>
      </c>
      <c r="E360" s="82">
        <v>4.5699999999999998E-2</v>
      </c>
      <c r="F360" s="82">
        <f>E360*F350</f>
        <v>1.25675</v>
      </c>
      <c r="G360" s="80">
        <v>3.2</v>
      </c>
      <c r="H360" s="80">
        <f t="shared" si="77"/>
        <v>4.0216000000000003</v>
      </c>
      <c r="I360" s="57"/>
      <c r="J360" s="80"/>
      <c r="K360" s="80"/>
      <c r="L360" s="80"/>
      <c r="M360" s="57">
        <f t="shared" si="75"/>
        <v>4.0216000000000003</v>
      </c>
      <c r="N360" s="60"/>
      <c r="O360" s="61"/>
      <c r="P360" s="62"/>
      <c r="Q360" s="61"/>
      <c r="R360" s="61"/>
      <c r="S360" s="70"/>
      <c r="AB360" s="4" t="s">
        <v>40</v>
      </c>
    </row>
    <row r="361" spans="1:28" s="128" customFormat="1" ht="27" x14ac:dyDescent="0.25">
      <c r="A361" s="49" t="s">
        <v>39</v>
      </c>
      <c r="B361" s="68" t="s">
        <v>188</v>
      </c>
      <c r="C361" s="68" t="s">
        <v>247</v>
      </c>
      <c r="D361" s="83" t="s">
        <v>28</v>
      </c>
      <c r="E361" s="78"/>
      <c r="F361" s="78">
        <f>25*1.1</f>
        <v>27.500000000000004</v>
      </c>
      <c r="G361" s="79"/>
      <c r="H361" s="80"/>
      <c r="I361" s="57"/>
      <c r="J361" s="80"/>
      <c r="K361" s="80"/>
      <c r="L361" s="80"/>
      <c r="M361" s="57"/>
      <c r="N361" s="60"/>
      <c r="O361" s="61"/>
      <c r="P361" s="62"/>
      <c r="Q361" s="62"/>
      <c r="R361" s="61"/>
      <c r="S361" s="70"/>
      <c r="AB361" s="4" t="s">
        <v>40</v>
      </c>
    </row>
    <row r="362" spans="1:28" s="128" customFormat="1" x14ac:dyDescent="0.25">
      <c r="A362" s="77"/>
      <c r="B362" s="55"/>
      <c r="C362" s="55" t="s">
        <v>30</v>
      </c>
      <c r="D362" s="77" t="s">
        <v>28</v>
      </c>
      <c r="E362" s="82">
        <v>1</v>
      </c>
      <c r="F362" s="82">
        <f>E362*F361</f>
        <v>27.500000000000004</v>
      </c>
      <c r="G362" s="80"/>
      <c r="H362" s="80"/>
      <c r="I362" s="57">
        <v>3.5</v>
      </c>
      <c r="J362" s="57">
        <f t="shared" ref="J362" si="78">I362*F362</f>
        <v>96.250000000000014</v>
      </c>
      <c r="K362" s="80"/>
      <c r="L362" s="80"/>
      <c r="M362" s="57">
        <f t="shared" ref="M362:M371" si="79">L362+J362+H362</f>
        <v>96.250000000000014</v>
      </c>
      <c r="N362" s="60"/>
      <c r="O362" s="61"/>
      <c r="P362" s="62"/>
      <c r="Q362" s="61"/>
      <c r="R362" s="61"/>
      <c r="S362" s="70"/>
      <c r="AB362" s="4" t="s">
        <v>40</v>
      </c>
    </row>
    <row r="363" spans="1:28" s="128" customFormat="1" x14ac:dyDescent="0.25">
      <c r="A363" s="77"/>
      <c r="B363" s="55"/>
      <c r="C363" s="55" t="s">
        <v>98</v>
      </c>
      <c r="D363" s="77" t="s">
        <v>1</v>
      </c>
      <c r="E363" s="82">
        <v>2.5700000000000001E-2</v>
      </c>
      <c r="F363" s="82">
        <f>E363*F361</f>
        <v>0.7067500000000001</v>
      </c>
      <c r="G363" s="80"/>
      <c r="H363" s="80"/>
      <c r="I363" s="57"/>
      <c r="J363" s="80"/>
      <c r="K363" s="80">
        <v>3.2</v>
      </c>
      <c r="L363" s="80">
        <f t="shared" ref="L363" si="80">K363*F363</f>
        <v>2.2616000000000005</v>
      </c>
      <c r="M363" s="57">
        <f t="shared" si="79"/>
        <v>2.2616000000000005</v>
      </c>
      <c r="N363" s="60"/>
      <c r="O363" s="61"/>
      <c r="P363" s="62"/>
      <c r="Q363" s="61"/>
      <c r="R363" s="61"/>
      <c r="S363" s="70"/>
      <c r="AB363" s="4" t="s">
        <v>40</v>
      </c>
    </row>
    <row r="364" spans="1:28" s="128" customFormat="1" x14ac:dyDescent="0.25">
      <c r="A364" s="77"/>
      <c r="B364" s="55"/>
      <c r="C364" s="55" t="s">
        <v>240</v>
      </c>
      <c r="D364" s="77" t="s">
        <v>28</v>
      </c>
      <c r="E364" s="82">
        <v>0.92900000000000005</v>
      </c>
      <c r="F364" s="82">
        <f>E364*F361</f>
        <v>25.547500000000003</v>
      </c>
      <c r="G364" s="80">
        <v>0.8</v>
      </c>
      <c r="H364" s="80">
        <f t="shared" ref="H364:H371" si="81">G364*F364</f>
        <v>20.438000000000002</v>
      </c>
      <c r="I364" s="57"/>
      <c r="J364" s="80"/>
      <c r="K364" s="80"/>
      <c r="L364" s="80"/>
      <c r="M364" s="57">
        <f t="shared" si="79"/>
        <v>20.438000000000002</v>
      </c>
      <c r="N364" s="60"/>
      <c r="O364" s="61"/>
      <c r="P364" s="62"/>
      <c r="Q364" s="61"/>
      <c r="R364" s="61"/>
      <c r="S364" s="70"/>
      <c r="AB364" s="4" t="s">
        <v>40</v>
      </c>
    </row>
    <row r="365" spans="1:28" s="128" customFormat="1" x14ac:dyDescent="0.25">
      <c r="A365" s="77"/>
      <c r="B365" s="55"/>
      <c r="C365" s="55" t="s">
        <v>241</v>
      </c>
      <c r="D365" s="77" t="s">
        <v>25</v>
      </c>
      <c r="E365" s="82">
        <v>1</v>
      </c>
      <c r="F365" s="82">
        <f>E365*F361</f>
        <v>27.500000000000004</v>
      </c>
      <c r="G365" s="80">
        <v>0.25</v>
      </c>
      <c r="H365" s="80">
        <f t="shared" si="81"/>
        <v>6.8750000000000009</v>
      </c>
      <c r="I365" s="57"/>
      <c r="J365" s="80"/>
      <c r="K365" s="80"/>
      <c r="L365" s="80"/>
      <c r="M365" s="57">
        <f t="shared" si="79"/>
        <v>6.8750000000000009</v>
      </c>
      <c r="N365" s="60"/>
      <c r="O365" s="61"/>
      <c r="P365" s="62"/>
      <c r="Q365" s="61"/>
      <c r="R365" s="61"/>
      <c r="S365" s="70"/>
      <c r="AB365" s="4" t="s">
        <v>40</v>
      </c>
    </row>
    <row r="366" spans="1:28" s="128" customFormat="1" x14ac:dyDescent="0.25">
      <c r="A366" s="77"/>
      <c r="B366" s="55"/>
      <c r="C366" s="55" t="s">
        <v>242</v>
      </c>
      <c r="D366" s="77" t="s">
        <v>25</v>
      </c>
      <c r="E366" s="82">
        <v>1</v>
      </c>
      <c r="F366" s="82">
        <f>E366*F361</f>
        <v>27.500000000000004</v>
      </c>
      <c r="G366" s="80">
        <v>0.2</v>
      </c>
      <c r="H366" s="80">
        <f t="shared" si="81"/>
        <v>5.5000000000000009</v>
      </c>
      <c r="I366" s="57"/>
      <c r="J366" s="80"/>
      <c r="K366" s="80"/>
      <c r="L366" s="80"/>
      <c r="M366" s="57">
        <f t="shared" si="79"/>
        <v>5.5000000000000009</v>
      </c>
      <c r="N366" s="60"/>
      <c r="O366" s="61"/>
      <c r="P366" s="62"/>
      <c r="Q366" s="61"/>
      <c r="R366" s="61"/>
      <c r="S366" s="70"/>
      <c r="AB366" s="4" t="s">
        <v>40</v>
      </c>
    </row>
    <row r="367" spans="1:28" s="128" customFormat="1" x14ac:dyDescent="0.25">
      <c r="A367" s="77"/>
      <c r="B367" s="55"/>
      <c r="C367" s="55" t="s">
        <v>243</v>
      </c>
      <c r="D367" s="77" t="s">
        <v>25</v>
      </c>
      <c r="E367" s="82">
        <v>1</v>
      </c>
      <c r="F367" s="82">
        <f>E367*F361</f>
        <v>27.500000000000004</v>
      </c>
      <c r="G367" s="80">
        <v>0.3</v>
      </c>
      <c r="H367" s="80">
        <f t="shared" si="81"/>
        <v>8.25</v>
      </c>
      <c r="I367" s="57"/>
      <c r="J367" s="80"/>
      <c r="K367" s="80"/>
      <c r="L367" s="80"/>
      <c r="M367" s="57">
        <f t="shared" si="79"/>
        <v>8.25</v>
      </c>
      <c r="N367" s="60"/>
      <c r="O367" s="61"/>
      <c r="P367" s="62"/>
      <c r="Q367" s="61"/>
      <c r="R367" s="61"/>
      <c r="S367" s="70"/>
      <c r="AB367" s="4" t="s">
        <v>40</v>
      </c>
    </row>
    <row r="368" spans="1:28" s="128" customFormat="1" x14ac:dyDescent="0.25">
      <c r="A368" s="77"/>
      <c r="B368" s="55"/>
      <c r="C368" s="55" t="s">
        <v>244</v>
      </c>
      <c r="D368" s="77" t="s">
        <v>25</v>
      </c>
      <c r="E368" s="82">
        <v>1</v>
      </c>
      <c r="F368" s="82">
        <f>E368*F361</f>
        <v>27.500000000000004</v>
      </c>
      <c r="G368" s="80">
        <v>0.3</v>
      </c>
      <c r="H368" s="80">
        <f t="shared" si="81"/>
        <v>8.25</v>
      </c>
      <c r="I368" s="57"/>
      <c r="J368" s="80"/>
      <c r="K368" s="80"/>
      <c r="L368" s="80"/>
      <c r="M368" s="57">
        <f t="shared" si="79"/>
        <v>8.25</v>
      </c>
      <c r="N368" s="60"/>
      <c r="O368" s="61"/>
      <c r="P368" s="62"/>
      <c r="Q368" s="61"/>
      <c r="R368" s="61"/>
      <c r="S368" s="70"/>
      <c r="AB368" s="4" t="s">
        <v>40</v>
      </c>
    </row>
    <row r="369" spans="1:28" s="128" customFormat="1" x14ac:dyDescent="0.25">
      <c r="A369" s="77"/>
      <c r="B369" s="55"/>
      <c r="C369" s="55" t="s">
        <v>245</v>
      </c>
      <c r="D369" s="77" t="s">
        <v>25</v>
      </c>
      <c r="E369" s="82">
        <v>1</v>
      </c>
      <c r="F369" s="82">
        <f>E369*F361</f>
        <v>27.500000000000004</v>
      </c>
      <c r="G369" s="80">
        <v>0.35</v>
      </c>
      <c r="H369" s="80">
        <f t="shared" si="81"/>
        <v>9.625</v>
      </c>
      <c r="I369" s="57"/>
      <c r="J369" s="80"/>
      <c r="K369" s="80"/>
      <c r="L369" s="80"/>
      <c r="M369" s="57">
        <f t="shared" si="79"/>
        <v>9.625</v>
      </c>
      <c r="N369" s="60"/>
      <c r="O369" s="61"/>
      <c r="P369" s="62"/>
      <c r="Q369" s="61"/>
      <c r="R369" s="61"/>
      <c r="S369" s="70"/>
      <c r="AB369" s="4" t="s">
        <v>40</v>
      </c>
    </row>
    <row r="370" spans="1:28" s="128" customFormat="1" x14ac:dyDescent="0.25">
      <c r="A370" s="77"/>
      <c r="B370" s="55"/>
      <c r="C370" s="55" t="s">
        <v>239</v>
      </c>
      <c r="D370" s="77" t="s">
        <v>61</v>
      </c>
      <c r="E370" s="82">
        <v>1</v>
      </c>
      <c r="F370" s="82">
        <f>E370*F361</f>
        <v>27.500000000000004</v>
      </c>
      <c r="G370" s="80">
        <v>0.6</v>
      </c>
      <c r="H370" s="80">
        <f t="shared" si="81"/>
        <v>16.5</v>
      </c>
      <c r="I370" s="57"/>
      <c r="J370" s="80"/>
      <c r="K370" s="80"/>
      <c r="L370" s="80"/>
      <c r="M370" s="57">
        <f t="shared" si="79"/>
        <v>16.5</v>
      </c>
      <c r="N370" s="60"/>
      <c r="O370" s="61"/>
      <c r="P370" s="62"/>
      <c r="Q370" s="61"/>
      <c r="R370" s="61"/>
      <c r="S370" s="70"/>
      <c r="AB370" s="4" t="s">
        <v>40</v>
      </c>
    </row>
    <row r="371" spans="1:28" s="128" customFormat="1" x14ac:dyDescent="0.25">
      <c r="A371" s="77"/>
      <c r="B371" s="55"/>
      <c r="C371" s="55" t="s">
        <v>43</v>
      </c>
      <c r="D371" s="77" t="s">
        <v>1</v>
      </c>
      <c r="E371" s="82">
        <v>4.5699999999999998E-2</v>
      </c>
      <c r="F371" s="82">
        <f>E371*F361</f>
        <v>1.25675</v>
      </c>
      <c r="G371" s="80">
        <v>3.2</v>
      </c>
      <c r="H371" s="80">
        <f t="shared" si="81"/>
        <v>4.0216000000000003</v>
      </c>
      <c r="I371" s="57"/>
      <c r="J371" s="80"/>
      <c r="K371" s="80"/>
      <c r="L371" s="80"/>
      <c r="M371" s="57">
        <f t="shared" si="79"/>
        <v>4.0216000000000003</v>
      </c>
      <c r="N371" s="60"/>
      <c r="O371" s="61"/>
      <c r="P371" s="62"/>
      <c r="Q371" s="61"/>
      <c r="R371" s="61"/>
      <c r="S371" s="70"/>
      <c r="AB371" s="4" t="s">
        <v>40</v>
      </c>
    </row>
    <row r="372" spans="1:28" ht="27" x14ac:dyDescent="0.25">
      <c r="A372" s="49" t="s">
        <v>39</v>
      </c>
      <c r="B372" s="151"/>
      <c r="C372" s="134" t="s">
        <v>248</v>
      </c>
      <c r="D372" s="142"/>
      <c r="E372" s="113"/>
      <c r="F372" s="149"/>
      <c r="G372" s="114"/>
      <c r="H372" s="115"/>
      <c r="I372" s="116"/>
      <c r="J372" s="114"/>
      <c r="K372" s="116"/>
      <c r="L372" s="115"/>
      <c r="M372" s="116"/>
      <c r="AB372" s="4" t="s">
        <v>40</v>
      </c>
    </row>
    <row r="373" spans="1:28" s="70" customFormat="1" ht="27" x14ac:dyDescent="0.25">
      <c r="A373" s="49" t="s">
        <v>39</v>
      </c>
      <c r="B373" s="68" t="s">
        <v>250</v>
      </c>
      <c r="C373" s="68" t="s">
        <v>253</v>
      </c>
      <c r="D373" s="68" t="s">
        <v>67</v>
      </c>
      <c r="E373" s="78"/>
      <c r="F373" s="78">
        <f>20*1*0.07*1.1</f>
        <v>1.5400000000000003</v>
      </c>
      <c r="G373" s="79"/>
      <c r="H373" s="80"/>
      <c r="I373" s="57"/>
      <c r="J373" s="80"/>
      <c r="K373" s="80"/>
      <c r="L373" s="80"/>
      <c r="M373" s="57"/>
      <c r="N373" s="60"/>
      <c r="O373" s="61"/>
      <c r="P373" s="62"/>
      <c r="Q373" s="62"/>
      <c r="R373" s="61"/>
      <c r="AB373" s="4" t="s">
        <v>40</v>
      </c>
    </row>
    <row r="374" spans="1:28" s="70" customFormat="1" x14ac:dyDescent="0.25">
      <c r="A374" s="77"/>
      <c r="B374" s="55"/>
      <c r="C374" s="55" t="s">
        <v>30</v>
      </c>
      <c r="D374" s="77" t="s">
        <v>67</v>
      </c>
      <c r="E374" s="82">
        <v>1</v>
      </c>
      <c r="F374" s="82">
        <f>E374*F373</f>
        <v>1.5400000000000003</v>
      </c>
      <c r="G374" s="80"/>
      <c r="H374" s="80"/>
      <c r="I374" s="57">
        <v>62.5</v>
      </c>
      <c r="J374" s="57">
        <f>I374*F374</f>
        <v>96.250000000000014</v>
      </c>
      <c r="K374" s="80"/>
      <c r="L374" s="80"/>
      <c r="M374" s="57">
        <f>L374+J374+H374</f>
        <v>96.250000000000014</v>
      </c>
      <c r="N374" s="60"/>
      <c r="O374" s="61"/>
      <c r="P374" s="62"/>
      <c r="Q374" s="61"/>
      <c r="R374" s="61"/>
      <c r="AB374" s="4" t="s">
        <v>40</v>
      </c>
    </row>
    <row r="375" spans="1:28" s="70" customFormat="1" x14ac:dyDescent="0.25">
      <c r="A375" s="77"/>
      <c r="B375" s="55"/>
      <c r="C375" s="55" t="s">
        <v>252</v>
      </c>
      <c r="D375" s="77" t="s">
        <v>251</v>
      </c>
      <c r="E375" s="82">
        <v>0.77500000000000002</v>
      </c>
      <c r="F375" s="82">
        <f>E375*F373</f>
        <v>1.1935000000000002</v>
      </c>
      <c r="G375" s="80"/>
      <c r="H375" s="80"/>
      <c r="I375" s="57"/>
      <c r="J375" s="80"/>
      <c r="K375" s="80">
        <v>2.87</v>
      </c>
      <c r="L375" s="80">
        <f t="shared" ref="L375" si="82">K375*F375</f>
        <v>3.425345000000001</v>
      </c>
      <c r="M375" s="57">
        <f>L375+J375+H375</f>
        <v>3.425345000000001</v>
      </c>
      <c r="N375" s="60"/>
      <c r="O375" s="61"/>
      <c r="P375" s="62"/>
      <c r="Q375" s="61"/>
      <c r="R375" s="61"/>
      <c r="AB375" s="4" t="s">
        <v>40</v>
      </c>
    </row>
    <row r="376" spans="1:28" s="71" customFormat="1" ht="27" x14ac:dyDescent="0.25">
      <c r="A376" s="49" t="s">
        <v>39</v>
      </c>
      <c r="B376" s="68" t="s">
        <v>254</v>
      </c>
      <c r="C376" s="68" t="s">
        <v>255</v>
      </c>
      <c r="D376" s="67" t="s">
        <v>67</v>
      </c>
      <c r="E376" s="67"/>
      <c r="F376" s="67">
        <f>20*1*0.15*1.1</f>
        <v>3.3000000000000003</v>
      </c>
      <c r="G376" s="48"/>
      <c r="H376" s="80"/>
      <c r="I376" s="48"/>
      <c r="J376" s="80"/>
      <c r="K376" s="48"/>
      <c r="L376" s="80"/>
      <c r="M376" s="48"/>
      <c r="N376" s="60"/>
      <c r="O376" s="61"/>
      <c r="P376" s="62"/>
      <c r="Q376" s="62"/>
      <c r="R376" s="61"/>
      <c r="S376" s="104"/>
      <c r="AB376" s="4" t="s">
        <v>40</v>
      </c>
    </row>
    <row r="377" spans="1:28" s="71" customFormat="1" x14ac:dyDescent="0.25">
      <c r="A377" s="55"/>
      <c r="B377" s="56"/>
      <c r="C377" s="55" t="s">
        <v>30</v>
      </c>
      <c r="D377" s="57" t="s">
        <v>56</v>
      </c>
      <c r="E377" s="58">
        <f>206/100</f>
        <v>2.06</v>
      </c>
      <c r="F377" s="58">
        <f>F376*E377</f>
        <v>6.7980000000000009</v>
      </c>
      <c r="G377" s="57"/>
      <c r="H377" s="57"/>
      <c r="I377" s="57">
        <v>25</v>
      </c>
      <c r="J377" s="57">
        <f>I377*F377</f>
        <v>169.95000000000002</v>
      </c>
      <c r="K377" s="57"/>
      <c r="L377" s="57"/>
      <c r="M377" s="57">
        <f>L377+J377+H377</f>
        <v>169.95000000000002</v>
      </c>
      <c r="N377" s="60"/>
      <c r="O377" s="61"/>
      <c r="P377" s="62"/>
      <c r="Q377" s="62"/>
      <c r="R377" s="61"/>
      <c r="S377" s="104"/>
      <c r="AB377" s="4" t="s">
        <v>40</v>
      </c>
    </row>
    <row r="378" spans="1:28" s="70" customFormat="1" ht="27" x14ac:dyDescent="0.25">
      <c r="A378" s="49" t="s">
        <v>39</v>
      </c>
      <c r="B378" s="68" t="s">
        <v>257</v>
      </c>
      <c r="C378" s="83" t="s">
        <v>258</v>
      </c>
      <c r="D378" s="83" t="s">
        <v>24</v>
      </c>
      <c r="E378" s="78"/>
      <c r="F378" s="67">
        <f>20*1*0.15*1.1</f>
        <v>3.3000000000000003</v>
      </c>
      <c r="G378" s="79"/>
      <c r="H378" s="80"/>
      <c r="I378" s="57"/>
      <c r="J378" s="80"/>
      <c r="K378" s="80"/>
      <c r="L378" s="80"/>
      <c r="M378" s="57"/>
      <c r="N378" s="60"/>
      <c r="O378" s="61"/>
      <c r="P378" s="62"/>
      <c r="Q378" s="62"/>
      <c r="R378" s="61"/>
      <c r="AB378" s="4" t="s">
        <v>40</v>
      </c>
    </row>
    <row r="379" spans="1:28" s="70" customFormat="1" x14ac:dyDescent="0.25">
      <c r="A379" s="77"/>
      <c r="B379" s="55"/>
      <c r="C379" s="77" t="s">
        <v>30</v>
      </c>
      <c r="D379" s="77" t="s">
        <v>24</v>
      </c>
      <c r="E379" s="82">
        <v>1</v>
      </c>
      <c r="F379" s="82">
        <f>E379*F378</f>
        <v>3.3000000000000003</v>
      </c>
      <c r="G379" s="80"/>
      <c r="H379" s="80"/>
      <c r="I379" s="57">
        <v>12.5</v>
      </c>
      <c r="J379" s="57">
        <f t="shared" ref="J379" si="83">I379*F379</f>
        <v>41.25</v>
      </c>
      <c r="K379" s="80"/>
      <c r="L379" s="80"/>
      <c r="M379" s="57">
        <f>L379+J379+H379</f>
        <v>41.25</v>
      </c>
      <c r="N379" s="60"/>
      <c r="O379" s="61"/>
      <c r="P379" s="62"/>
      <c r="Q379" s="61"/>
      <c r="R379" s="61"/>
      <c r="AB379" s="4" t="s">
        <v>40</v>
      </c>
    </row>
    <row r="380" spans="1:28" s="70" customFormat="1" x14ac:dyDescent="0.25">
      <c r="A380" s="77"/>
      <c r="B380" s="55"/>
      <c r="C380" s="77" t="s">
        <v>259</v>
      </c>
      <c r="D380" s="77" t="s">
        <v>251</v>
      </c>
      <c r="E380" s="82">
        <v>1.46E-2</v>
      </c>
      <c r="F380" s="82">
        <f>E380*F378</f>
        <v>4.8180000000000008E-2</v>
      </c>
      <c r="G380" s="80"/>
      <c r="H380" s="80"/>
      <c r="I380" s="57"/>
      <c r="J380" s="80"/>
      <c r="K380" s="80">
        <v>17.899999999999999</v>
      </c>
      <c r="L380" s="80">
        <f t="shared" ref="L380:L381" si="84">K380*F380</f>
        <v>0.86242200000000002</v>
      </c>
      <c r="M380" s="57">
        <f>L380+J380+H380</f>
        <v>0.86242200000000002</v>
      </c>
      <c r="N380" s="60"/>
      <c r="O380" s="61"/>
      <c r="P380" s="62"/>
      <c r="Q380" s="61"/>
      <c r="R380" s="61"/>
      <c r="AB380" s="4" t="s">
        <v>40</v>
      </c>
    </row>
    <row r="381" spans="1:28" s="70" customFormat="1" x14ac:dyDescent="0.25">
      <c r="A381" s="77"/>
      <c r="B381" s="55"/>
      <c r="C381" s="77" t="s">
        <v>260</v>
      </c>
      <c r="D381" s="77" t="s">
        <v>251</v>
      </c>
      <c r="E381" s="82">
        <v>5.4999999999999997E-3</v>
      </c>
      <c r="F381" s="82">
        <f>E381*F378</f>
        <v>1.8149999999999999E-2</v>
      </c>
      <c r="G381" s="80"/>
      <c r="H381" s="80"/>
      <c r="I381" s="57"/>
      <c r="J381" s="80"/>
      <c r="K381" s="80">
        <v>46.08</v>
      </c>
      <c r="L381" s="80">
        <f t="shared" si="84"/>
        <v>0.83635199999999998</v>
      </c>
      <c r="M381" s="57">
        <f>L381+J381+H381</f>
        <v>0.83635199999999998</v>
      </c>
      <c r="N381" s="60"/>
      <c r="O381" s="61"/>
      <c r="P381" s="62"/>
      <c r="Q381" s="61"/>
      <c r="R381" s="61"/>
      <c r="AB381" s="4" t="s">
        <v>40</v>
      </c>
    </row>
    <row r="382" spans="1:28" s="70" customFormat="1" x14ac:dyDescent="0.25">
      <c r="A382" s="77"/>
      <c r="B382" s="55"/>
      <c r="C382" s="77" t="s">
        <v>261</v>
      </c>
      <c r="D382" s="55" t="s">
        <v>67</v>
      </c>
      <c r="E382" s="82">
        <v>0.17399999999999999</v>
      </c>
      <c r="F382" s="82">
        <f>E382*F378</f>
        <v>0.57420000000000004</v>
      </c>
      <c r="G382" s="80">
        <v>21.4</v>
      </c>
      <c r="H382" s="80">
        <f t="shared" ref="H382:H383" si="85">G382*F382</f>
        <v>12.287879999999999</v>
      </c>
      <c r="I382" s="57"/>
      <c r="J382" s="80"/>
      <c r="K382" s="80"/>
      <c r="L382" s="80"/>
      <c r="M382" s="57">
        <f>L382+J382+H382</f>
        <v>12.287879999999999</v>
      </c>
      <c r="N382" s="60"/>
      <c r="O382" s="61"/>
      <c r="P382" s="62"/>
      <c r="Q382" s="61"/>
      <c r="R382" s="61"/>
      <c r="AB382" s="4" t="s">
        <v>40</v>
      </c>
    </row>
    <row r="383" spans="1:28" s="70" customFormat="1" x14ac:dyDescent="0.25">
      <c r="A383" s="77"/>
      <c r="B383" s="55"/>
      <c r="C383" s="77" t="s">
        <v>256</v>
      </c>
      <c r="D383" s="77" t="s">
        <v>262</v>
      </c>
      <c r="E383" s="82">
        <v>0.02</v>
      </c>
      <c r="F383" s="82">
        <f>E383*F378</f>
        <v>6.6000000000000003E-2</v>
      </c>
      <c r="G383" s="80">
        <v>3.2</v>
      </c>
      <c r="H383" s="80">
        <f t="shared" si="85"/>
        <v>0.21120000000000003</v>
      </c>
      <c r="I383" s="57"/>
      <c r="J383" s="80"/>
      <c r="K383" s="80"/>
      <c r="L383" s="80"/>
      <c r="M383" s="57">
        <f>L383+J383+H383</f>
        <v>0.21120000000000003</v>
      </c>
      <c r="N383" s="60"/>
      <c r="O383" s="61"/>
      <c r="P383" s="62"/>
      <c r="Q383" s="61"/>
      <c r="R383" s="61"/>
      <c r="AB383" s="4" t="s">
        <v>40</v>
      </c>
    </row>
    <row r="384" spans="1:28" s="70" customFormat="1" x14ac:dyDescent="0.25">
      <c r="A384" s="49" t="s">
        <v>39</v>
      </c>
      <c r="B384" s="24" t="s">
        <v>266</v>
      </c>
      <c r="C384" s="24" t="s">
        <v>267</v>
      </c>
      <c r="D384" s="83" t="s">
        <v>28</v>
      </c>
      <c r="E384" s="25"/>
      <c r="F384" s="25">
        <f>20*1.1</f>
        <v>22</v>
      </c>
      <c r="G384" s="79"/>
      <c r="H384" s="80"/>
      <c r="I384" s="57"/>
      <c r="J384" s="80"/>
      <c r="K384" s="80"/>
      <c r="L384" s="80"/>
      <c r="M384" s="57"/>
      <c r="N384" s="60"/>
      <c r="O384" s="61"/>
      <c r="P384" s="62"/>
      <c r="Q384" s="62"/>
      <c r="R384" s="61"/>
      <c r="AB384" s="4" t="s">
        <v>40</v>
      </c>
    </row>
    <row r="385" spans="1:28" s="70" customFormat="1" x14ac:dyDescent="0.25">
      <c r="A385" s="109"/>
      <c r="B385" s="26"/>
      <c r="C385" s="26" t="s">
        <v>30</v>
      </c>
      <c r="D385" s="77" t="s">
        <v>28</v>
      </c>
      <c r="E385" s="110">
        <v>1</v>
      </c>
      <c r="F385" s="110">
        <f>F384*E385</f>
        <v>22</v>
      </c>
      <c r="G385" s="26"/>
      <c r="H385" s="80"/>
      <c r="I385" s="26">
        <v>6.25</v>
      </c>
      <c r="J385" s="57">
        <f t="shared" ref="J385" si="86">I385*F385</f>
        <v>137.5</v>
      </c>
      <c r="K385" s="26"/>
      <c r="L385" s="80"/>
      <c r="M385" s="26">
        <f t="shared" ref="M385:M390" si="87">H385+J385+L385</f>
        <v>137.5</v>
      </c>
      <c r="N385" s="60"/>
      <c r="O385" s="61"/>
      <c r="P385" s="62"/>
      <c r="Q385" s="61"/>
      <c r="R385" s="61"/>
      <c r="AB385" s="4" t="s">
        <v>40</v>
      </c>
    </row>
    <row r="386" spans="1:28" s="70" customFormat="1" x14ac:dyDescent="0.25">
      <c r="A386" s="109"/>
      <c r="B386" s="26"/>
      <c r="C386" s="26" t="s">
        <v>18</v>
      </c>
      <c r="D386" s="77" t="s">
        <v>1</v>
      </c>
      <c r="E386" s="110">
        <v>7.1000000000000004E-3</v>
      </c>
      <c r="F386" s="110">
        <f>F384*E386</f>
        <v>0.15620000000000001</v>
      </c>
      <c r="G386" s="26"/>
      <c r="H386" s="80"/>
      <c r="I386" s="26"/>
      <c r="J386" s="80"/>
      <c r="K386" s="26">
        <v>3.2</v>
      </c>
      <c r="L386" s="80">
        <f t="shared" ref="L386" si="88">K386*F386</f>
        <v>0.49984000000000006</v>
      </c>
      <c r="M386" s="26">
        <f t="shared" si="87"/>
        <v>0.49984000000000006</v>
      </c>
      <c r="N386" s="60"/>
      <c r="O386" s="61"/>
      <c r="P386" s="62"/>
      <c r="Q386" s="61"/>
      <c r="R386" s="61"/>
      <c r="AB386" s="4" t="s">
        <v>40</v>
      </c>
    </row>
    <row r="387" spans="1:28" s="70" customFormat="1" x14ac:dyDescent="0.25">
      <c r="A387" s="109"/>
      <c r="B387" s="26"/>
      <c r="C387" s="26" t="s">
        <v>268</v>
      </c>
      <c r="D387" s="77" t="s">
        <v>28</v>
      </c>
      <c r="E387" s="110">
        <v>1</v>
      </c>
      <c r="F387" s="110">
        <f>F384*E387</f>
        <v>22</v>
      </c>
      <c r="G387" s="26">
        <v>20</v>
      </c>
      <c r="H387" s="80">
        <f t="shared" ref="H387:H390" si="89">G387*F387</f>
        <v>440</v>
      </c>
      <c r="I387" s="26"/>
      <c r="J387" s="80"/>
      <c r="K387" s="26"/>
      <c r="L387" s="80"/>
      <c r="M387" s="26">
        <f t="shared" si="87"/>
        <v>440</v>
      </c>
      <c r="N387" s="60"/>
      <c r="O387" s="61"/>
      <c r="P387" s="62"/>
      <c r="Q387" s="61"/>
      <c r="R387" s="61"/>
      <c r="AB387" s="4" t="s">
        <v>40</v>
      </c>
    </row>
    <row r="388" spans="1:28" s="70" customFormat="1" x14ac:dyDescent="0.25">
      <c r="A388" s="109"/>
      <c r="B388" s="26"/>
      <c r="C388" s="26" t="s">
        <v>269</v>
      </c>
      <c r="D388" s="55" t="s">
        <v>67</v>
      </c>
      <c r="E388" s="110">
        <v>5.8999999999999997E-2</v>
      </c>
      <c r="F388" s="110">
        <f>F384*E388</f>
        <v>1.298</v>
      </c>
      <c r="G388" s="26">
        <v>93</v>
      </c>
      <c r="H388" s="80">
        <f t="shared" si="89"/>
        <v>120.714</v>
      </c>
      <c r="I388" s="26"/>
      <c r="J388" s="80"/>
      <c r="K388" s="26"/>
      <c r="L388" s="80"/>
      <c r="M388" s="26">
        <f t="shared" si="87"/>
        <v>120.714</v>
      </c>
      <c r="N388" s="60"/>
      <c r="O388" s="61"/>
      <c r="P388" s="62"/>
      <c r="Q388" s="61"/>
      <c r="R388" s="61"/>
      <c r="AB388" s="4" t="s">
        <v>40</v>
      </c>
    </row>
    <row r="389" spans="1:28" s="70" customFormat="1" x14ac:dyDescent="0.25">
      <c r="A389" s="109"/>
      <c r="B389" s="26"/>
      <c r="C389" s="26" t="s">
        <v>270</v>
      </c>
      <c r="D389" s="55" t="s">
        <v>67</v>
      </c>
      <c r="E389" s="110">
        <v>5.9999999999999995E-4</v>
      </c>
      <c r="F389" s="110">
        <f>F384*E389</f>
        <v>1.3199999999999998E-2</v>
      </c>
      <c r="G389" s="26">
        <v>80</v>
      </c>
      <c r="H389" s="80">
        <f t="shared" si="89"/>
        <v>1.0559999999999998</v>
      </c>
      <c r="I389" s="26"/>
      <c r="J389" s="80"/>
      <c r="K389" s="26"/>
      <c r="L389" s="80"/>
      <c r="M389" s="26">
        <f t="shared" si="87"/>
        <v>1.0559999999999998</v>
      </c>
      <c r="N389" s="60"/>
      <c r="O389" s="61"/>
      <c r="P389" s="62"/>
      <c r="Q389" s="61"/>
      <c r="R389" s="61"/>
      <c r="AB389" s="4" t="s">
        <v>40</v>
      </c>
    </row>
    <row r="390" spans="1:28" s="70" customFormat="1" x14ac:dyDescent="0.25">
      <c r="A390" s="109"/>
      <c r="B390" s="26"/>
      <c r="C390" s="26" t="s">
        <v>74</v>
      </c>
      <c r="D390" s="77" t="s">
        <v>1</v>
      </c>
      <c r="E390" s="110">
        <v>9.6000000000000002E-2</v>
      </c>
      <c r="F390" s="110">
        <f>F384*E390</f>
        <v>2.1120000000000001</v>
      </c>
      <c r="G390" s="26">
        <v>3.2</v>
      </c>
      <c r="H390" s="80">
        <f t="shared" si="89"/>
        <v>6.7584000000000009</v>
      </c>
      <c r="I390" s="26"/>
      <c r="J390" s="80"/>
      <c r="K390" s="26"/>
      <c r="L390" s="80"/>
      <c r="M390" s="26">
        <f t="shared" si="87"/>
        <v>6.7584000000000009</v>
      </c>
      <c r="N390" s="60"/>
      <c r="O390" s="61"/>
      <c r="P390" s="62"/>
      <c r="Q390" s="61"/>
      <c r="R390" s="61"/>
      <c r="AB390" s="4" t="s">
        <v>40</v>
      </c>
    </row>
    <row r="391" spans="1:28" s="71" customFormat="1" ht="27" x14ac:dyDescent="0.25">
      <c r="A391" s="49" t="s">
        <v>39</v>
      </c>
      <c r="B391" s="24" t="s">
        <v>263</v>
      </c>
      <c r="C391" s="24" t="s">
        <v>264</v>
      </c>
      <c r="D391" s="68" t="s">
        <v>67</v>
      </c>
      <c r="E391" s="25"/>
      <c r="F391" s="25">
        <f>20*1*0.1*1.1</f>
        <v>2.2000000000000002</v>
      </c>
      <c r="G391" s="79"/>
      <c r="H391" s="80"/>
      <c r="I391" s="57"/>
      <c r="J391" s="80"/>
      <c r="K391" s="80"/>
      <c r="L391" s="80"/>
      <c r="M391" s="57"/>
      <c r="N391" s="60"/>
      <c r="O391" s="61"/>
      <c r="P391" s="62"/>
      <c r="Q391" s="62"/>
      <c r="R391" s="61"/>
      <c r="S391" s="70"/>
      <c r="AB391" s="4" t="s">
        <v>40</v>
      </c>
    </row>
    <row r="392" spans="1:28" s="71" customFormat="1" x14ac:dyDescent="0.25">
      <c r="A392" s="109"/>
      <c r="B392" s="26"/>
      <c r="C392" s="26" t="s">
        <v>30</v>
      </c>
      <c r="D392" s="77" t="s">
        <v>67</v>
      </c>
      <c r="E392" s="110">
        <v>1</v>
      </c>
      <c r="F392" s="110">
        <f>F391*E392</f>
        <v>2.2000000000000002</v>
      </c>
      <c r="G392" s="26"/>
      <c r="H392" s="80"/>
      <c r="I392" s="26">
        <v>18.75</v>
      </c>
      <c r="J392" s="57">
        <f t="shared" ref="J392" si="90">I392*F392</f>
        <v>41.25</v>
      </c>
      <c r="K392" s="26"/>
      <c r="L392" s="80"/>
      <c r="M392" s="26">
        <f>H392+J392+L392</f>
        <v>41.25</v>
      </c>
      <c r="N392" s="60"/>
      <c r="O392" s="61"/>
      <c r="P392" s="62"/>
      <c r="Q392" s="61"/>
      <c r="R392" s="61"/>
      <c r="S392" s="70"/>
      <c r="AB392" s="4" t="s">
        <v>40</v>
      </c>
    </row>
    <row r="393" spans="1:28" s="71" customFormat="1" x14ac:dyDescent="0.25">
      <c r="A393" s="87"/>
      <c r="B393" s="57"/>
      <c r="C393" s="57" t="s">
        <v>265</v>
      </c>
      <c r="D393" s="55" t="s">
        <v>67</v>
      </c>
      <c r="E393" s="58">
        <v>1.02</v>
      </c>
      <c r="F393" s="58">
        <f>F391*E393</f>
        <v>2.2440000000000002</v>
      </c>
      <c r="G393" s="57">
        <v>110</v>
      </c>
      <c r="H393" s="80">
        <f t="shared" ref="H393:H394" si="91">G393*F393</f>
        <v>246.84000000000003</v>
      </c>
      <c r="I393" s="57"/>
      <c r="J393" s="80"/>
      <c r="K393" s="57"/>
      <c r="L393" s="80"/>
      <c r="M393" s="57">
        <f>H393+J393+L393</f>
        <v>246.84000000000003</v>
      </c>
      <c r="N393" s="60"/>
      <c r="O393" s="61"/>
      <c r="P393" s="62"/>
      <c r="Q393" s="61"/>
      <c r="R393" s="61"/>
      <c r="S393" s="70"/>
      <c r="AB393" s="4" t="s">
        <v>40</v>
      </c>
    </row>
    <row r="394" spans="1:28" s="71" customFormat="1" x14ac:dyDescent="0.25">
      <c r="A394" s="109"/>
      <c r="B394" s="26"/>
      <c r="C394" s="26" t="s">
        <v>74</v>
      </c>
      <c r="D394" s="77" t="s">
        <v>1</v>
      </c>
      <c r="E394" s="110">
        <v>0.88</v>
      </c>
      <c r="F394" s="110">
        <f>F391*E394</f>
        <v>1.9360000000000002</v>
      </c>
      <c r="G394" s="26">
        <v>3.2</v>
      </c>
      <c r="H394" s="80">
        <f t="shared" si="91"/>
        <v>6.1952000000000007</v>
      </c>
      <c r="I394" s="26"/>
      <c r="J394" s="80"/>
      <c r="K394" s="26"/>
      <c r="L394" s="80"/>
      <c r="M394" s="26">
        <f>H394+J394+L394</f>
        <v>6.1952000000000007</v>
      </c>
      <c r="N394" s="60"/>
      <c r="O394" s="61"/>
      <c r="P394" s="62"/>
      <c r="Q394" s="61"/>
      <c r="R394" s="61"/>
      <c r="S394" s="70"/>
      <c r="AB394" s="4" t="s">
        <v>40</v>
      </c>
    </row>
    <row r="395" spans="1:28" s="64" customFormat="1" ht="27" x14ac:dyDescent="0.25">
      <c r="A395" s="49" t="s">
        <v>39</v>
      </c>
      <c r="B395" s="68" t="s">
        <v>273</v>
      </c>
      <c r="C395" s="68" t="s">
        <v>283</v>
      </c>
      <c r="D395" s="83" t="s">
        <v>28</v>
      </c>
      <c r="E395" s="78"/>
      <c r="F395" s="78">
        <f>25*1.1</f>
        <v>27.500000000000004</v>
      </c>
      <c r="G395" s="79"/>
      <c r="H395" s="80"/>
      <c r="I395" s="57"/>
      <c r="J395" s="80"/>
      <c r="K395" s="80"/>
      <c r="L395" s="80"/>
      <c r="M395" s="57"/>
      <c r="N395" s="60"/>
      <c r="O395" s="61"/>
      <c r="P395" s="62"/>
      <c r="Q395" s="62"/>
      <c r="R395" s="61"/>
      <c r="S395" s="70"/>
      <c r="AB395" s="4" t="s">
        <v>40</v>
      </c>
    </row>
    <row r="396" spans="1:28" s="64" customFormat="1" x14ac:dyDescent="0.25">
      <c r="A396" s="77"/>
      <c r="B396" s="55"/>
      <c r="C396" s="55" t="s">
        <v>30</v>
      </c>
      <c r="D396" s="77" t="s">
        <v>28</v>
      </c>
      <c r="E396" s="82">
        <v>1</v>
      </c>
      <c r="F396" s="82">
        <f>E396*F395</f>
        <v>27.500000000000004</v>
      </c>
      <c r="G396" s="80"/>
      <c r="H396" s="80"/>
      <c r="I396" s="57">
        <v>3.5</v>
      </c>
      <c r="J396" s="57">
        <f t="shared" ref="J396" si="92">I396*F396</f>
        <v>96.250000000000014</v>
      </c>
      <c r="K396" s="80"/>
      <c r="L396" s="80"/>
      <c r="M396" s="57">
        <f t="shared" ref="M396:M403" si="93">L396+J396+H396</f>
        <v>96.250000000000014</v>
      </c>
      <c r="N396" s="60"/>
      <c r="O396" s="61"/>
      <c r="P396" s="62"/>
      <c r="Q396" s="61"/>
      <c r="R396" s="61"/>
      <c r="S396" s="70"/>
      <c r="AB396" s="4" t="s">
        <v>40</v>
      </c>
    </row>
    <row r="397" spans="1:28" s="64" customFormat="1" x14ac:dyDescent="0.25">
      <c r="A397" s="77"/>
      <c r="B397" s="55"/>
      <c r="C397" s="55" t="s">
        <v>34</v>
      </c>
      <c r="D397" s="77" t="s">
        <v>1</v>
      </c>
      <c r="E397" s="82">
        <v>6.6199999999999995E-2</v>
      </c>
      <c r="F397" s="82">
        <f>E397*F395</f>
        <v>1.8205</v>
      </c>
      <c r="G397" s="80"/>
      <c r="H397" s="80"/>
      <c r="I397" s="57"/>
      <c r="J397" s="80"/>
      <c r="K397" s="80">
        <v>3.2</v>
      </c>
      <c r="L397" s="80">
        <f t="shared" ref="L397" si="94">K397*F397</f>
        <v>5.8256000000000006</v>
      </c>
      <c r="M397" s="57">
        <f t="shared" si="93"/>
        <v>5.8256000000000006</v>
      </c>
      <c r="N397" s="60"/>
      <c r="O397" s="61"/>
      <c r="P397" s="62"/>
      <c r="Q397" s="61"/>
      <c r="R397" s="61"/>
      <c r="S397" s="70"/>
      <c r="AB397" s="4" t="s">
        <v>40</v>
      </c>
    </row>
    <row r="398" spans="1:28" s="64" customFormat="1" x14ac:dyDescent="0.25">
      <c r="A398" s="77"/>
      <c r="B398" s="55"/>
      <c r="C398" s="55" t="s">
        <v>274</v>
      </c>
      <c r="D398" s="77" t="s">
        <v>24</v>
      </c>
      <c r="E398" s="82">
        <v>1.55</v>
      </c>
      <c r="F398" s="82">
        <f>E398*F395</f>
        <v>42.625000000000007</v>
      </c>
      <c r="G398" s="80">
        <v>7</v>
      </c>
      <c r="H398" s="80">
        <f t="shared" ref="H398:H403" si="95">G398*F398</f>
        <v>298.37500000000006</v>
      </c>
      <c r="I398" s="57"/>
      <c r="J398" s="80"/>
      <c r="K398" s="80"/>
      <c r="L398" s="80"/>
      <c r="M398" s="57">
        <f t="shared" si="93"/>
        <v>298.37500000000006</v>
      </c>
      <c r="N398" s="60"/>
      <c r="O398" s="61"/>
      <c r="P398" s="62"/>
      <c r="Q398" s="61"/>
      <c r="R398" s="61"/>
      <c r="S398" s="70"/>
      <c r="AB398" s="4" t="s">
        <v>40</v>
      </c>
    </row>
    <row r="399" spans="1:28" s="64" customFormat="1" x14ac:dyDescent="0.25">
      <c r="A399" s="77"/>
      <c r="B399" s="55"/>
      <c r="C399" s="55" t="s">
        <v>275</v>
      </c>
      <c r="D399" s="55" t="s">
        <v>67</v>
      </c>
      <c r="E399" s="82">
        <v>4.4500000000000005E-2</v>
      </c>
      <c r="F399" s="82">
        <f>E399*F395</f>
        <v>1.2237500000000003</v>
      </c>
      <c r="G399" s="80">
        <v>450</v>
      </c>
      <c r="H399" s="80">
        <f t="shared" si="95"/>
        <v>550.68750000000011</v>
      </c>
      <c r="I399" s="57"/>
      <c r="J399" s="80"/>
      <c r="K399" s="80"/>
      <c r="L399" s="80"/>
      <c r="M399" s="57">
        <f t="shared" si="93"/>
        <v>550.68750000000011</v>
      </c>
      <c r="N399" s="60"/>
      <c r="O399" s="61"/>
      <c r="P399" s="62"/>
      <c r="Q399" s="61"/>
      <c r="R399" s="61"/>
      <c r="S399" s="70"/>
      <c r="AB399" s="4" t="s">
        <v>40</v>
      </c>
    </row>
    <row r="400" spans="1:28" s="64" customFormat="1" x14ac:dyDescent="0.25">
      <c r="A400" s="77"/>
      <c r="B400" s="55"/>
      <c r="C400" s="55" t="s">
        <v>128</v>
      </c>
      <c r="D400" s="77" t="s">
        <v>61</v>
      </c>
      <c r="E400" s="82">
        <v>0.128</v>
      </c>
      <c r="F400" s="82">
        <f>E400*F395</f>
        <v>3.5200000000000005</v>
      </c>
      <c r="G400" s="80">
        <v>2.4</v>
      </c>
      <c r="H400" s="80">
        <f t="shared" si="95"/>
        <v>8.4480000000000004</v>
      </c>
      <c r="I400" s="57"/>
      <c r="J400" s="80"/>
      <c r="K400" s="80"/>
      <c r="L400" s="80"/>
      <c r="M400" s="57">
        <f t="shared" si="93"/>
        <v>8.4480000000000004</v>
      </c>
      <c r="N400" s="60"/>
      <c r="O400" s="61"/>
      <c r="P400" s="62"/>
      <c r="Q400" s="61"/>
      <c r="R400" s="61"/>
      <c r="S400" s="70"/>
      <c r="AB400" s="4" t="s">
        <v>40</v>
      </c>
    </row>
    <row r="401" spans="1:28" s="64" customFormat="1" x14ac:dyDescent="0.25">
      <c r="A401" s="77"/>
      <c r="B401" s="55"/>
      <c r="C401" s="55" t="s">
        <v>276</v>
      </c>
      <c r="D401" s="77" t="s">
        <v>61</v>
      </c>
      <c r="E401" s="82">
        <v>0.128</v>
      </c>
      <c r="F401" s="82">
        <f>E401*F395</f>
        <v>3.5200000000000005</v>
      </c>
      <c r="G401" s="80">
        <v>2.5</v>
      </c>
      <c r="H401" s="80">
        <f t="shared" si="95"/>
        <v>8.8000000000000007</v>
      </c>
      <c r="I401" s="57"/>
      <c r="J401" s="80"/>
      <c r="K401" s="80"/>
      <c r="L401" s="80"/>
      <c r="M401" s="57">
        <f t="shared" si="93"/>
        <v>8.8000000000000007</v>
      </c>
      <c r="N401" s="60"/>
      <c r="O401" s="61"/>
      <c r="P401" s="62"/>
      <c r="Q401" s="61"/>
      <c r="R401" s="61"/>
      <c r="S401" s="70"/>
      <c r="AB401" s="4" t="s">
        <v>40</v>
      </c>
    </row>
    <row r="402" spans="1:28" s="64" customFormat="1" x14ac:dyDescent="0.25">
      <c r="A402" s="77"/>
      <c r="B402" s="55"/>
      <c r="C402" s="55" t="s">
        <v>277</v>
      </c>
      <c r="D402" s="77" t="s">
        <v>61</v>
      </c>
      <c r="E402" s="82">
        <v>4.0599999999999996</v>
      </c>
      <c r="F402" s="82">
        <f>E402*F395</f>
        <v>111.65</v>
      </c>
      <c r="G402" s="80">
        <v>2.5</v>
      </c>
      <c r="H402" s="80">
        <f t="shared" si="95"/>
        <v>279.125</v>
      </c>
      <c r="I402" s="57"/>
      <c r="J402" s="80"/>
      <c r="K402" s="80"/>
      <c r="L402" s="80"/>
      <c r="M402" s="57">
        <f t="shared" si="93"/>
        <v>279.125</v>
      </c>
      <c r="N402" s="60"/>
      <c r="O402" s="61"/>
      <c r="P402" s="62"/>
      <c r="Q402" s="61"/>
      <c r="R402" s="61"/>
      <c r="S402" s="70"/>
      <c r="AB402" s="4" t="s">
        <v>40</v>
      </c>
    </row>
    <row r="403" spans="1:28" s="64" customFormat="1" x14ac:dyDescent="0.25">
      <c r="A403" s="77"/>
      <c r="B403" s="55"/>
      <c r="C403" s="55" t="s">
        <v>43</v>
      </c>
      <c r="D403" s="77" t="s">
        <v>1</v>
      </c>
      <c r="E403" s="82">
        <v>0.13300000000000001</v>
      </c>
      <c r="F403" s="82">
        <f>E403*F395</f>
        <v>3.6575000000000006</v>
      </c>
      <c r="G403" s="80">
        <v>3.2</v>
      </c>
      <c r="H403" s="80">
        <f t="shared" si="95"/>
        <v>11.704000000000002</v>
      </c>
      <c r="I403" s="57"/>
      <c r="J403" s="80"/>
      <c r="K403" s="80"/>
      <c r="L403" s="80"/>
      <c r="M403" s="57">
        <f t="shared" si="93"/>
        <v>11.704000000000002</v>
      </c>
      <c r="N403" s="60"/>
      <c r="O403" s="61"/>
      <c r="P403" s="62"/>
      <c r="Q403" s="61"/>
      <c r="R403" s="61"/>
      <c r="S403" s="70"/>
      <c r="AB403" s="4" t="s">
        <v>40</v>
      </c>
    </row>
    <row r="404" spans="1:28" s="128" customFormat="1" x14ac:dyDescent="0.25">
      <c r="A404" s="49" t="s">
        <v>39</v>
      </c>
      <c r="B404" s="24" t="s">
        <v>278</v>
      </c>
      <c r="C404" s="24" t="s">
        <v>282</v>
      </c>
      <c r="D404" s="83" t="s">
        <v>25</v>
      </c>
      <c r="E404" s="25"/>
      <c r="F404" s="25">
        <f>3*1.1</f>
        <v>3.3000000000000003</v>
      </c>
      <c r="G404" s="79"/>
      <c r="H404" s="80"/>
      <c r="I404" s="57"/>
      <c r="J404" s="80"/>
      <c r="K404" s="80"/>
      <c r="L404" s="80"/>
      <c r="M404" s="57"/>
      <c r="N404" s="60"/>
      <c r="O404" s="61"/>
      <c r="P404" s="62"/>
      <c r="Q404" s="62"/>
      <c r="R404" s="61"/>
      <c r="S404" s="70"/>
      <c r="AB404" s="4" t="s">
        <v>40</v>
      </c>
    </row>
    <row r="405" spans="1:28" s="128" customFormat="1" x14ac:dyDescent="0.25">
      <c r="A405" s="109"/>
      <c r="B405" s="26"/>
      <c r="C405" s="26" t="s">
        <v>30</v>
      </c>
      <c r="D405" s="77" t="s">
        <v>28</v>
      </c>
      <c r="E405" s="110">
        <v>1</v>
      </c>
      <c r="F405" s="110">
        <f>F404*E405</f>
        <v>3.3000000000000003</v>
      </c>
      <c r="G405" s="26"/>
      <c r="H405" s="80"/>
      <c r="I405" s="26">
        <v>6</v>
      </c>
      <c r="J405" s="57">
        <f t="shared" ref="J405" si="96">I405*F405</f>
        <v>19.8</v>
      </c>
      <c r="K405" s="26"/>
      <c r="L405" s="80"/>
      <c r="M405" s="26">
        <f>H405+J405+L405</f>
        <v>19.8</v>
      </c>
      <c r="N405" s="60"/>
      <c r="O405" s="61"/>
      <c r="P405" s="62"/>
      <c r="Q405" s="61"/>
      <c r="R405" s="61"/>
      <c r="S405" s="70"/>
      <c r="AB405" s="4" t="s">
        <v>40</v>
      </c>
    </row>
    <row r="406" spans="1:28" s="128" customFormat="1" x14ac:dyDescent="0.25">
      <c r="A406" s="109"/>
      <c r="B406" s="26"/>
      <c r="C406" s="26" t="s">
        <v>279</v>
      </c>
      <c r="D406" s="77" t="s">
        <v>1</v>
      </c>
      <c r="E406" s="110">
        <v>0.02</v>
      </c>
      <c r="F406" s="110">
        <f>F404*E406</f>
        <v>6.6000000000000003E-2</v>
      </c>
      <c r="G406" s="26"/>
      <c r="H406" s="80"/>
      <c r="I406" s="26"/>
      <c r="J406" s="80"/>
      <c r="K406" s="26">
        <v>3.2</v>
      </c>
      <c r="L406" s="80">
        <f t="shared" ref="L406" si="97">K406*F406</f>
        <v>0.21120000000000003</v>
      </c>
      <c r="M406" s="26">
        <f>H406+J406+L406</f>
        <v>0.21120000000000003</v>
      </c>
      <c r="N406" s="60"/>
      <c r="O406" s="61"/>
      <c r="P406" s="62"/>
      <c r="Q406" s="61"/>
      <c r="R406" s="61"/>
      <c r="S406" s="70"/>
      <c r="AB406" s="4" t="s">
        <v>40</v>
      </c>
    </row>
    <row r="407" spans="1:28" s="128" customFormat="1" x14ac:dyDescent="0.25">
      <c r="A407" s="109"/>
      <c r="B407" s="26"/>
      <c r="C407" s="26" t="s">
        <v>280</v>
      </c>
      <c r="D407" s="77" t="s">
        <v>25</v>
      </c>
      <c r="E407" s="110">
        <v>1</v>
      </c>
      <c r="F407" s="110">
        <f>F404*E407</f>
        <v>3.3000000000000003</v>
      </c>
      <c r="G407" s="26">
        <v>18.600000000000001</v>
      </c>
      <c r="H407" s="80">
        <f t="shared" ref="H407:H408" si="98">G407*F407</f>
        <v>61.38000000000001</v>
      </c>
      <c r="I407" s="26"/>
      <c r="J407" s="80"/>
      <c r="K407" s="26"/>
      <c r="L407" s="80"/>
      <c r="M407" s="26">
        <f>H407+J407+L407</f>
        <v>61.38000000000001</v>
      </c>
      <c r="N407" s="60"/>
      <c r="O407" s="61"/>
      <c r="P407" s="62"/>
      <c r="Q407" s="61"/>
      <c r="R407" s="61"/>
      <c r="S407" s="70"/>
      <c r="AB407" s="4" t="s">
        <v>40</v>
      </c>
    </row>
    <row r="408" spans="1:28" s="71" customFormat="1" x14ac:dyDescent="0.25">
      <c r="A408" s="109"/>
      <c r="B408" s="26"/>
      <c r="C408" s="26" t="s">
        <v>281</v>
      </c>
      <c r="D408" s="77" t="s">
        <v>1</v>
      </c>
      <c r="E408" s="110">
        <v>0.28999999999999998</v>
      </c>
      <c r="F408" s="110">
        <f>F404*E408</f>
        <v>0.95699999999999996</v>
      </c>
      <c r="G408" s="26">
        <v>3.2</v>
      </c>
      <c r="H408" s="80">
        <f t="shared" si="98"/>
        <v>3.0624000000000002</v>
      </c>
      <c r="I408" s="26"/>
      <c r="J408" s="80"/>
      <c r="K408" s="26"/>
      <c r="L408" s="80"/>
      <c r="M408" s="26">
        <f>H408+J408+L408</f>
        <v>3.0624000000000002</v>
      </c>
      <c r="N408" s="60"/>
      <c r="O408" s="61"/>
      <c r="P408" s="62"/>
      <c r="Q408" s="61"/>
      <c r="R408" s="61"/>
      <c r="S408" s="70"/>
      <c r="AB408" s="4" t="s">
        <v>40</v>
      </c>
    </row>
    <row r="409" spans="1:28" ht="27" x14ac:dyDescent="0.25">
      <c r="A409" s="49" t="s">
        <v>39</v>
      </c>
      <c r="B409" s="151"/>
      <c r="C409" s="134" t="s">
        <v>271</v>
      </c>
      <c r="D409" s="142"/>
      <c r="E409" s="113"/>
      <c r="F409" s="149"/>
      <c r="G409" s="114"/>
      <c r="H409" s="115"/>
      <c r="I409" s="116"/>
      <c r="J409" s="114"/>
      <c r="K409" s="116"/>
      <c r="L409" s="115"/>
      <c r="M409" s="116"/>
      <c r="AB409" s="4" t="s">
        <v>40</v>
      </c>
    </row>
    <row r="410" spans="1:28" s="70" customFormat="1" ht="27" x14ac:dyDescent="0.25">
      <c r="A410" s="49" t="s">
        <v>39</v>
      </c>
      <c r="B410" s="68" t="s">
        <v>249</v>
      </c>
      <c r="C410" s="68" t="s">
        <v>272</v>
      </c>
      <c r="D410" s="83" t="s">
        <v>24</v>
      </c>
      <c r="E410" s="78"/>
      <c r="F410" s="78">
        <f>45*1.2*1.1+3*1.2*1.1</f>
        <v>63.360000000000007</v>
      </c>
      <c r="G410" s="79"/>
      <c r="H410" s="80"/>
      <c r="I410" s="57"/>
      <c r="J410" s="80"/>
      <c r="K410" s="80"/>
      <c r="L410" s="80"/>
      <c r="M410" s="57"/>
      <c r="N410" s="60"/>
      <c r="O410" s="61"/>
      <c r="P410" s="62"/>
      <c r="Q410" s="62"/>
      <c r="R410" s="61"/>
      <c r="S410" s="84"/>
      <c r="AB410" s="4" t="s">
        <v>40</v>
      </c>
    </row>
    <row r="411" spans="1:28" s="70" customFormat="1" x14ac:dyDescent="0.25">
      <c r="A411" s="77"/>
      <c r="B411" s="55"/>
      <c r="C411" s="55" t="s">
        <v>30</v>
      </c>
      <c r="D411" s="77" t="s">
        <v>24</v>
      </c>
      <c r="E411" s="82">
        <v>1</v>
      </c>
      <c r="F411" s="82">
        <f>E411*F410</f>
        <v>63.360000000000007</v>
      </c>
      <c r="G411" s="80"/>
      <c r="H411" s="80"/>
      <c r="I411" s="57">
        <v>4.5999999999999996</v>
      </c>
      <c r="J411" s="57">
        <f t="shared" ref="J411" si="99">I411*F411</f>
        <v>291.45600000000002</v>
      </c>
      <c r="K411" s="80"/>
      <c r="L411" s="80"/>
      <c r="M411" s="57">
        <f>L411+J411+H411</f>
        <v>291.45600000000002</v>
      </c>
      <c r="N411" s="60"/>
      <c r="O411" s="61"/>
      <c r="P411" s="62"/>
      <c r="Q411" s="74"/>
      <c r="R411" s="61"/>
      <c r="S411" s="84"/>
      <c r="AB411" s="4" t="s">
        <v>40</v>
      </c>
    </row>
    <row r="412" spans="1:28" s="70" customFormat="1" x14ac:dyDescent="0.25">
      <c r="A412" s="77"/>
      <c r="B412" s="55"/>
      <c r="C412" s="55" t="s">
        <v>18</v>
      </c>
      <c r="D412" s="77" t="s">
        <v>1</v>
      </c>
      <c r="E412" s="82">
        <f>0.0392+0.0078*5</f>
        <v>7.8199999999999992E-2</v>
      </c>
      <c r="F412" s="82">
        <f>E412*F410</f>
        <v>4.954752</v>
      </c>
      <c r="G412" s="80"/>
      <c r="H412" s="80"/>
      <c r="I412" s="57"/>
      <c r="J412" s="80"/>
      <c r="K412" s="80">
        <v>3.2</v>
      </c>
      <c r="L412" s="80">
        <f t="shared" ref="L412" si="100">K412*F412</f>
        <v>15.8552064</v>
      </c>
      <c r="M412" s="57">
        <f>L412+J412+H412</f>
        <v>15.8552064</v>
      </c>
      <c r="N412" s="60"/>
      <c r="O412" s="61"/>
      <c r="P412" s="62"/>
      <c r="Q412" s="74"/>
      <c r="R412" s="61"/>
      <c r="S412" s="84"/>
      <c r="AB412" s="4" t="s">
        <v>40</v>
      </c>
    </row>
    <row r="413" spans="1:28" s="71" customFormat="1" ht="27" x14ac:dyDescent="0.25">
      <c r="A413" s="49" t="s">
        <v>39</v>
      </c>
      <c r="B413" s="68" t="s">
        <v>254</v>
      </c>
      <c r="C413" s="68" t="s">
        <v>255</v>
      </c>
      <c r="D413" s="67" t="s">
        <v>67</v>
      </c>
      <c r="E413" s="67"/>
      <c r="F413" s="67">
        <f>45*1.2*0.2*1.1</f>
        <v>11.880000000000003</v>
      </c>
      <c r="G413" s="48"/>
      <c r="H413" s="80"/>
      <c r="I413" s="48"/>
      <c r="J413" s="80"/>
      <c r="K413" s="48"/>
      <c r="L413" s="80"/>
      <c r="M413" s="48"/>
      <c r="N413" s="60"/>
      <c r="O413" s="61"/>
      <c r="P413" s="62"/>
      <c r="Q413" s="62"/>
      <c r="R413" s="61"/>
      <c r="S413" s="104"/>
      <c r="AB413" s="4" t="s">
        <v>40</v>
      </c>
    </row>
    <row r="414" spans="1:28" s="71" customFormat="1" x14ac:dyDescent="0.25">
      <c r="A414" s="55"/>
      <c r="B414" s="56"/>
      <c r="C414" s="55" t="s">
        <v>30</v>
      </c>
      <c r="D414" s="57" t="s">
        <v>56</v>
      </c>
      <c r="E414" s="58">
        <f>206/100</f>
        <v>2.06</v>
      </c>
      <c r="F414" s="58">
        <f>F413*E414</f>
        <v>24.472800000000007</v>
      </c>
      <c r="G414" s="57"/>
      <c r="H414" s="57"/>
      <c r="I414" s="57">
        <v>25</v>
      </c>
      <c r="J414" s="57">
        <f t="shared" ref="J414" si="101">I414*F414</f>
        <v>611.82000000000016</v>
      </c>
      <c r="K414" s="57"/>
      <c r="L414" s="57"/>
      <c r="M414" s="57">
        <f>L414+J414+H414</f>
        <v>611.82000000000016</v>
      </c>
      <c r="N414" s="60"/>
      <c r="O414" s="61"/>
      <c r="P414" s="62"/>
      <c r="Q414" s="62"/>
      <c r="R414" s="61"/>
      <c r="S414" s="104"/>
      <c r="AB414" s="4" t="s">
        <v>40</v>
      </c>
    </row>
    <row r="415" spans="1:28" s="70" customFormat="1" ht="27" x14ac:dyDescent="0.25">
      <c r="A415" s="49" t="s">
        <v>39</v>
      </c>
      <c r="B415" s="68" t="s">
        <v>257</v>
      </c>
      <c r="C415" s="83" t="s">
        <v>258</v>
      </c>
      <c r="D415" s="83" t="s">
        <v>24</v>
      </c>
      <c r="E415" s="78"/>
      <c r="F415" s="67">
        <f>45*1.2*0.2*1.1</f>
        <v>11.880000000000003</v>
      </c>
      <c r="G415" s="79"/>
      <c r="H415" s="80"/>
      <c r="I415" s="57"/>
      <c r="J415" s="80"/>
      <c r="K415" s="80"/>
      <c r="L415" s="80"/>
      <c r="M415" s="57"/>
      <c r="N415" s="60"/>
      <c r="O415" s="61"/>
      <c r="P415" s="62"/>
      <c r="Q415" s="62"/>
      <c r="R415" s="61"/>
      <c r="AB415" s="4" t="s">
        <v>40</v>
      </c>
    </row>
    <row r="416" spans="1:28" s="70" customFormat="1" x14ac:dyDescent="0.25">
      <c r="A416" s="77"/>
      <c r="B416" s="55"/>
      <c r="C416" s="77" t="s">
        <v>30</v>
      </c>
      <c r="D416" s="77" t="s">
        <v>24</v>
      </c>
      <c r="E416" s="82">
        <v>1</v>
      </c>
      <c r="F416" s="82">
        <f>E416*F415</f>
        <v>11.880000000000003</v>
      </c>
      <c r="G416" s="80"/>
      <c r="H416" s="80"/>
      <c r="I416" s="57">
        <v>12.5</v>
      </c>
      <c r="J416" s="57">
        <f t="shared" ref="J416" si="102">I416*F416</f>
        <v>148.50000000000003</v>
      </c>
      <c r="K416" s="80"/>
      <c r="L416" s="80"/>
      <c r="M416" s="57">
        <f>L416+J416+H416</f>
        <v>148.50000000000003</v>
      </c>
      <c r="N416" s="60"/>
      <c r="O416" s="61"/>
      <c r="P416" s="62"/>
      <c r="Q416" s="61"/>
      <c r="R416" s="61"/>
      <c r="AB416" s="4" t="s">
        <v>40</v>
      </c>
    </row>
    <row r="417" spans="1:28" s="70" customFormat="1" x14ac:dyDescent="0.25">
      <c r="A417" s="77"/>
      <c r="B417" s="55"/>
      <c r="C417" s="77" t="s">
        <v>259</v>
      </c>
      <c r="D417" s="77" t="s">
        <v>251</v>
      </c>
      <c r="E417" s="82">
        <v>1.46E-2</v>
      </c>
      <c r="F417" s="82">
        <f>E417*F415</f>
        <v>0.17344800000000005</v>
      </c>
      <c r="G417" s="80"/>
      <c r="H417" s="80"/>
      <c r="I417" s="57"/>
      <c r="J417" s="80"/>
      <c r="K417" s="80">
        <v>17.899999999999999</v>
      </c>
      <c r="L417" s="80">
        <f t="shared" ref="L417:L418" si="103">K417*F417</f>
        <v>3.1047192000000008</v>
      </c>
      <c r="M417" s="57">
        <f>L417+J417+H417</f>
        <v>3.1047192000000008</v>
      </c>
      <c r="N417" s="60"/>
      <c r="O417" s="61"/>
      <c r="P417" s="62"/>
      <c r="Q417" s="61"/>
      <c r="R417" s="61"/>
      <c r="AB417" s="4" t="s">
        <v>40</v>
      </c>
    </row>
    <row r="418" spans="1:28" s="70" customFormat="1" x14ac:dyDescent="0.25">
      <c r="A418" s="77"/>
      <c r="B418" s="55"/>
      <c r="C418" s="77" t="s">
        <v>260</v>
      </c>
      <c r="D418" s="77" t="s">
        <v>251</v>
      </c>
      <c r="E418" s="82">
        <v>5.4999999999999997E-3</v>
      </c>
      <c r="F418" s="82">
        <f>E418*F415</f>
        <v>6.5340000000000009E-2</v>
      </c>
      <c r="G418" s="80"/>
      <c r="H418" s="80"/>
      <c r="I418" s="57"/>
      <c r="J418" s="80"/>
      <c r="K418" s="80">
        <v>46.08</v>
      </c>
      <c r="L418" s="80">
        <f t="shared" si="103"/>
        <v>3.0108672000000003</v>
      </c>
      <c r="M418" s="57">
        <f>L418+J418+H418</f>
        <v>3.0108672000000003</v>
      </c>
      <c r="N418" s="60"/>
      <c r="O418" s="61"/>
      <c r="P418" s="62"/>
      <c r="Q418" s="61"/>
      <c r="R418" s="61"/>
      <c r="AB418" s="4" t="s">
        <v>40</v>
      </c>
    </row>
    <row r="419" spans="1:28" s="70" customFormat="1" x14ac:dyDescent="0.25">
      <c r="A419" s="77"/>
      <c r="B419" s="55"/>
      <c r="C419" s="77" t="s">
        <v>261</v>
      </c>
      <c r="D419" s="55" t="s">
        <v>67</v>
      </c>
      <c r="E419" s="82">
        <v>0.17399999999999999</v>
      </c>
      <c r="F419" s="82">
        <f>E419*F415</f>
        <v>2.0671200000000005</v>
      </c>
      <c r="G419" s="80">
        <v>21.4</v>
      </c>
      <c r="H419" s="80">
        <f t="shared" ref="H419:H420" si="104">G419*F419</f>
        <v>44.236368000000006</v>
      </c>
      <c r="I419" s="57"/>
      <c r="J419" s="80"/>
      <c r="K419" s="80"/>
      <c r="L419" s="80"/>
      <c r="M419" s="57">
        <f>L419+J419+H419</f>
        <v>44.236368000000006</v>
      </c>
      <c r="N419" s="60"/>
      <c r="O419" s="61"/>
      <c r="P419" s="62"/>
      <c r="Q419" s="61"/>
      <c r="R419" s="61"/>
      <c r="AB419" s="4" t="s">
        <v>40</v>
      </c>
    </row>
    <row r="420" spans="1:28" s="70" customFormat="1" x14ac:dyDescent="0.25">
      <c r="A420" s="77"/>
      <c r="B420" s="55"/>
      <c r="C420" s="77" t="s">
        <v>256</v>
      </c>
      <c r="D420" s="77" t="s">
        <v>262</v>
      </c>
      <c r="E420" s="82">
        <v>0.02</v>
      </c>
      <c r="F420" s="82">
        <f>E420*F415</f>
        <v>0.23760000000000006</v>
      </c>
      <c r="G420" s="80">
        <v>3.2</v>
      </c>
      <c r="H420" s="80">
        <f t="shared" si="104"/>
        <v>0.76032000000000022</v>
      </c>
      <c r="I420" s="57"/>
      <c r="J420" s="80"/>
      <c r="K420" s="80"/>
      <c r="L420" s="80"/>
      <c r="M420" s="57">
        <f>L420+J420+H420</f>
        <v>0.76032000000000022</v>
      </c>
      <c r="N420" s="60"/>
      <c r="O420" s="61"/>
      <c r="P420" s="62"/>
      <c r="Q420" s="61"/>
      <c r="R420" s="61"/>
      <c r="AB420" s="4" t="s">
        <v>40</v>
      </c>
    </row>
    <row r="421" spans="1:28" s="70" customFormat="1" x14ac:dyDescent="0.25">
      <c r="A421" s="49" t="s">
        <v>39</v>
      </c>
      <c r="B421" s="24" t="s">
        <v>266</v>
      </c>
      <c r="C421" s="24" t="s">
        <v>267</v>
      </c>
      <c r="D421" s="83" t="s">
        <v>28</v>
      </c>
      <c r="E421" s="25"/>
      <c r="F421" s="25">
        <f>45*1.1+3*1.1</f>
        <v>52.800000000000004</v>
      </c>
      <c r="G421" s="79"/>
      <c r="H421" s="80"/>
      <c r="I421" s="57"/>
      <c r="J421" s="80"/>
      <c r="K421" s="80"/>
      <c r="L421" s="80"/>
      <c r="M421" s="57"/>
      <c r="N421" s="60"/>
      <c r="O421" s="61"/>
      <c r="P421" s="62"/>
      <c r="Q421" s="62"/>
      <c r="R421" s="61"/>
      <c r="AB421" s="4" t="s">
        <v>40</v>
      </c>
    </row>
    <row r="422" spans="1:28" s="70" customFormat="1" x14ac:dyDescent="0.25">
      <c r="A422" s="109"/>
      <c r="B422" s="26"/>
      <c r="C422" s="26" t="s">
        <v>30</v>
      </c>
      <c r="D422" s="77" t="s">
        <v>28</v>
      </c>
      <c r="E422" s="110">
        <v>1</v>
      </c>
      <c r="F422" s="110">
        <f>F421*E422</f>
        <v>52.800000000000004</v>
      </c>
      <c r="G422" s="26"/>
      <c r="H422" s="80"/>
      <c r="I422" s="26">
        <v>6.25</v>
      </c>
      <c r="J422" s="57">
        <f t="shared" ref="J422" si="105">I422*F422</f>
        <v>330</v>
      </c>
      <c r="K422" s="26"/>
      <c r="L422" s="80"/>
      <c r="M422" s="26">
        <f t="shared" ref="M422:M427" si="106">H422+J422+L422</f>
        <v>330</v>
      </c>
      <c r="N422" s="60"/>
      <c r="O422" s="61"/>
      <c r="P422" s="62"/>
      <c r="Q422" s="61"/>
      <c r="R422" s="61"/>
      <c r="AB422" s="4" t="s">
        <v>40</v>
      </c>
    </row>
    <row r="423" spans="1:28" s="70" customFormat="1" x14ac:dyDescent="0.25">
      <c r="A423" s="109"/>
      <c r="B423" s="26"/>
      <c r="C423" s="26" t="s">
        <v>18</v>
      </c>
      <c r="D423" s="77" t="s">
        <v>1</v>
      </c>
      <c r="E423" s="110">
        <v>7.1000000000000004E-3</v>
      </c>
      <c r="F423" s="110">
        <f>F421*E423</f>
        <v>0.37488000000000005</v>
      </c>
      <c r="G423" s="26"/>
      <c r="H423" s="80"/>
      <c r="I423" s="26"/>
      <c r="J423" s="80"/>
      <c r="K423" s="26">
        <v>3.2</v>
      </c>
      <c r="L423" s="80">
        <f t="shared" ref="L423" si="107">K423*F423</f>
        <v>1.1996160000000002</v>
      </c>
      <c r="M423" s="26">
        <f t="shared" si="106"/>
        <v>1.1996160000000002</v>
      </c>
      <c r="N423" s="60"/>
      <c r="O423" s="61"/>
      <c r="P423" s="62"/>
      <c r="Q423" s="61"/>
      <c r="R423" s="61"/>
      <c r="AB423" s="4" t="s">
        <v>40</v>
      </c>
    </row>
    <row r="424" spans="1:28" s="70" customFormat="1" x14ac:dyDescent="0.25">
      <c r="A424" s="109"/>
      <c r="B424" s="26"/>
      <c r="C424" s="26" t="s">
        <v>268</v>
      </c>
      <c r="D424" s="77" t="s">
        <v>28</v>
      </c>
      <c r="E424" s="110">
        <v>1</v>
      </c>
      <c r="F424" s="110">
        <f>F421*E424</f>
        <v>52.800000000000004</v>
      </c>
      <c r="G424" s="26">
        <v>20</v>
      </c>
      <c r="H424" s="80">
        <f t="shared" ref="H424:H427" si="108">G424*F424</f>
        <v>1056</v>
      </c>
      <c r="I424" s="26"/>
      <c r="J424" s="80"/>
      <c r="K424" s="26"/>
      <c r="L424" s="80"/>
      <c r="M424" s="26">
        <f t="shared" si="106"/>
        <v>1056</v>
      </c>
      <c r="N424" s="60"/>
      <c r="O424" s="61"/>
      <c r="P424" s="62"/>
      <c r="Q424" s="61"/>
      <c r="R424" s="61"/>
      <c r="AB424" s="4" t="s">
        <v>40</v>
      </c>
    </row>
    <row r="425" spans="1:28" s="70" customFormat="1" x14ac:dyDescent="0.25">
      <c r="A425" s="109"/>
      <c r="B425" s="26"/>
      <c r="C425" s="26" t="s">
        <v>269</v>
      </c>
      <c r="D425" s="55" t="s">
        <v>67</v>
      </c>
      <c r="E425" s="110">
        <v>5.8999999999999997E-2</v>
      </c>
      <c r="F425" s="110">
        <f>F421*E425</f>
        <v>3.1152000000000002</v>
      </c>
      <c r="G425" s="26">
        <v>93</v>
      </c>
      <c r="H425" s="80">
        <f t="shared" si="108"/>
        <v>289.71360000000004</v>
      </c>
      <c r="I425" s="26"/>
      <c r="J425" s="80"/>
      <c r="K425" s="26"/>
      <c r="L425" s="80"/>
      <c r="M425" s="26">
        <f t="shared" si="106"/>
        <v>289.71360000000004</v>
      </c>
      <c r="N425" s="60"/>
      <c r="O425" s="61"/>
      <c r="P425" s="62"/>
      <c r="Q425" s="61"/>
      <c r="R425" s="61"/>
      <c r="AB425" s="4" t="s">
        <v>40</v>
      </c>
    </row>
    <row r="426" spans="1:28" s="70" customFormat="1" x14ac:dyDescent="0.25">
      <c r="A426" s="109"/>
      <c r="B426" s="26"/>
      <c r="C426" s="26" t="s">
        <v>270</v>
      </c>
      <c r="D426" s="55" t="s">
        <v>67</v>
      </c>
      <c r="E426" s="110">
        <v>5.9999999999999995E-4</v>
      </c>
      <c r="F426" s="110">
        <f>F421*E426</f>
        <v>3.168E-2</v>
      </c>
      <c r="G426" s="26">
        <v>80</v>
      </c>
      <c r="H426" s="80">
        <f t="shared" si="108"/>
        <v>2.5343999999999998</v>
      </c>
      <c r="I426" s="26"/>
      <c r="J426" s="80"/>
      <c r="K426" s="26"/>
      <c r="L426" s="80"/>
      <c r="M426" s="26">
        <f t="shared" si="106"/>
        <v>2.5343999999999998</v>
      </c>
      <c r="N426" s="60"/>
      <c r="O426" s="61"/>
      <c r="P426" s="62"/>
      <c r="Q426" s="61"/>
      <c r="R426" s="61"/>
      <c r="AB426" s="4" t="s">
        <v>40</v>
      </c>
    </row>
    <row r="427" spans="1:28" s="70" customFormat="1" x14ac:dyDescent="0.25">
      <c r="A427" s="109"/>
      <c r="B427" s="26"/>
      <c r="C427" s="26" t="s">
        <v>74</v>
      </c>
      <c r="D427" s="77" t="s">
        <v>1</v>
      </c>
      <c r="E427" s="110">
        <v>9.6000000000000002E-2</v>
      </c>
      <c r="F427" s="110">
        <f>F421*E427</f>
        <v>5.0688000000000004</v>
      </c>
      <c r="G427" s="26">
        <v>3.2</v>
      </c>
      <c r="H427" s="80">
        <f t="shared" si="108"/>
        <v>16.220160000000003</v>
      </c>
      <c r="I427" s="26"/>
      <c r="J427" s="80"/>
      <c r="K427" s="26"/>
      <c r="L427" s="80"/>
      <c r="M427" s="26">
        <f t="shared" si="106"/>
        <v>16.220160000000003</v>
      </c>
      <c r="N427" s="60"/>
      <c r="O427" s="61"/>
      <c r="P427" s="62"/>
      <c r="Q427" s="61"/>
      <c r="R427" s="61"/>
      <c r="AB427" s="4" t="s">
        <v>40</v>
      </c>
    </row>
    <row r="428" spans="1:28" s="71" customFormat="1" ht="27" x14ac:dyDescent="0.25">
      <c r="A428" s="49" t="s">
        <v>39</v>
      </c>
      <c r="B428" s="24" t="s">
        <v>263</v>
      </c>
      <c r="C428" s="24" t="s">
        <v>264</v>
      </c>
      <c r="D428" s="68" t="s">
        <v>67</v>
      </c>
      <c r="E428" s="25"/>
      <c r="F428" s="25">
        <f>45*1.2*0.1*1.1+3*1.2*0.1*1.1</f>
        <v>6.3360000000000012</v>
      </c>
      <c r="G428" s="79"/>
      <c r="H428" s="80"/>
      <c r="I428" s="57"/>
      <c r="J428" s="80"/>
      <c r="K428" s="80"/>
      <c r="L428" s="80"/>
      <c r="M428" s="57"/>
      <c r="N428" s="60"/>
      <c r="O428" s="61"/>
      <c r="P428" s="62"/>
      <c r="Q428" s="62"/>
      <c r="R428" s="61"/>
      <c r="S428" s="70"/>
      <c r="AB428" s="4" t="s">
        <v>40</v>
      </c>
    </row>
    <row r="429" spans="1:28" s="71" customFormat="1" x14ac:dyDescent="0.25">
      <c r="A429" s="109"/>
      <c r="B429" s="26"/>
      <c r="C429" s="26" t="s">
        <v>30</v>
      </c>
      <c r="D429" s="77" t="s">
        <v>67</v>
      </c>
      <c r="E429" s="110">
        <v>1</v>
      </c>
      <c r="F429" s="110">
        <f>F428*E429</f>
        <v>6.3360000000000012</v>
      </c>
      <c r="G429" s="26"/>
      <c r="H429" s="80"/>
      <c r="I429" s="26">
        <v>18.75</v>
      </c>
      <c r="J429" s="57">
        <f t="shared" ref="J429" si="109">I429*F429</f>
        <v>118.80000000000003</v>
      </c>
      <c r="K429" s="26"/>
      <c r="L429" s="80"/>
      <c r="M429" s="26">
        <f>H429+J429+L429</f>
        <v>118.80000000000003</v>
      </c>
      <c r="N429" s="60"/>
      <c r="O429" s="61"/>
      <c r="P429" s="62"/>
      <c r="Q429" s="61"/>
      <c r="R429" s="61"/>
      <c r="S429" s="70"/>
      <c r="AB429" s="4" t="s">
        <v>40</v>
      </c>
    </row>
    <row r="430" spans="1:28" s="71" customFormat="1" x14ac:dyDescent="0.25">
      <c r="A430" s="87"/>
      <c r="B430" s="57"/>
      <c r="C430" s="57" t="s">
        <v>265</v>
      </c>
      <c r="D430" s="55" t="s">
        <v>67</v>
      </c>
      <c r="E430" s="58">
        <v>1.02</v>
      </c>
      <c r="F430" s="58">
        <f>F428*E430</f>
        <v>6.4627200000000009</v>
      </c>
      <c r="G430" s="57">
        <v>110</v>
      </c>
      <c r="H430" s="80">
        <f t="shared" ref="H430:H431" si="110">G430*F430</f>
        <v>710.89920000000006</v>
      </c>
      <c r="I430" s="57"/>
      <c r="J430" s="80"/>
      <c r="K430" s="57"/>
      <c r="L430" s="80"/>
      <c r="M430" s="57">
        <f>H430+J430+L430</f>
        <v>710.89920000000006</v>
      </c>
      <c r="N430" s="60"/>
      <c r="O430" s="61"/>
      <c r="P430" s="62"/>
      <c r="Q430" s="61"/>
      <c r="R430" s="61"/>
      <c r="S430" s="70"/>
      <c r="AB430" s="4" t="s">
        <v>40</v>
      </c>
    </row>
    <row r="431" spans="1:28" s="71" customFormat="1" x14ac:dyDescent="0.25">
      <c r="A431" s="109"/>
      <c r="B431" s="26"/>
      <c r="C431" s="26" t="s">
        <v>74</v>
      </c>
      <c r="D431" s="77" t="s">
        <v>1</v>
      </c>
      <c r="E431" s="110">
        <v>0.88</v>
      </c>
      <c r="F431" s="110">
        <f>F428*E431</f>
        <v>5.5756800000000011</v>
      </c>
      <c r="G431" s="26">
        <v>3.2</v>
      </c>
      <c r="H431" s="80">
        <f t="shared" si="110"/>
        <v>17.842176000000006</v>
      </c>
      <c r="I431" s="26"/>
      <c r="J431" s="80"/>
      <c r="K431" s="26"/>
      <c r="L431" s="80"/>
      <c r="M431" s="26">
        <f>H431+J431+L431</f>
        <v>17.842176000000006</v>
      </c>
      <c r="N431" s="60"/>
      <c r="O431" s="61"/>
      <c r="P431" s="62"/>
      <c r="Q431" s="61"/>
      <c r="R431" s="61"/>
      <c r="S431" s="70"/>
      <c r="AB431" s="4" t="s">
        <v>40</v>
      </c>
    </row>
    <row r="432" spans="1:28" s="70" customFormat="1" ht="27" x14ac:dyDescent="0.25">
      <c r="A432" s="49" t="s">
        <v>39</v>
      </c>
      <c r="B432" s="99" t="s">
        <v>109</v>
      </c>
      <c r="C432" s="99" t="s">
        <v>285</v>
      </c>
      <c r="D432" s="83" t="s">
        <v>24</v>
      </c>
      <c r="E432" s="100"/>
      <c r="F432" s="100">
        <f>45*0.8*1.1</f>
        <v>39.6</v>
      </c>
      <c r="G432" s="79"/>
      <c r="H432" s="80"/>
      <c r="I432" s="57"/>
      <c r="J432" s="57"/>
      <c r="K432" s="80"/>
      <c r="L432" s="80"/>
      <c r="M432" s="57"/>
      <c r="N432" s="60"/>
      <c r="O432" s="61"/>
      <c r="P432" s="62"/>
      <c r="Q432" s="62"/>
      <c r="R432" s="61"/>
      <c r="S432" s="101"/>
      <c r="AB432" s="4" t="s">
        <v>40</v>
      </c>
    </row>
    <row r="433" spans="1:33" s="70" customFormat="1" x14ac:dyDescent="0.25">
      <c r="A433" s="29"/>
      <c r="B433" s="26"/>
      <c r="C433" s="30" t="s">
        <v>17</v>
      </c>
      <c r="D433" s="77" t="s">
        <v>24</v>
      </c>
      <c r="E433" s="31">
        <v>1</v>
      </c>
      <c r="F433" s="31">
        <f>F432*E433</f>
        <v>39.6</v>
      </c>
      <c r="G433" s="30"/>
      <c r="H433" s="30"/>
      <c r="I433" s="30">
        <v>1.25</v>
      </c>
      <c r="J433" s="30">
        <f>F433*I433</f>
        <v>49.5</v>
      </c>
      <c r="K433" s="30"/>
      <c r="L433" s="30"/>
      <c r="M433" s="30">
        <f>H433+J433+L433</f>
        <v>49.5</v>
      </c>
      <c r="N433" s="60"/>
      <c r="O433" s="61"/>
      <c r="P433" s="62"/>
      <c r="Q433" s="61"/>
      <c r="R433" s="61"/>
      <c r="S433" s="101"/>
      <c r="AB433" s="4" t="s">
        <v>40</v>
      </c>
    </row>
    <row r="434" spans="1:33" s="70" customFormat="1" x14ac:dyDescent="0.25">
      <c r="A434" s="29"/>
      <c r="B434" s="30"/>
      <c r="C434" s="30" t="s">
        <v>18</v>
      </c>
      <c r="D434" s="77" t="s">
        <v>1</v>
      </c>
      <c r="E434" s="31">
        <v>1.6000000000000001E-3</v>
      </c>
      <c r="F434" s="31">
        <f>F432*E434</f>
        <v>6.336E-2</v>
      </c>
      <c r="G434" s="30"/>
      <c r="H434" s="30"/>
      <c r="I434" s="30"/>
      <c r="J434" s="30"/>
      <c r="K434" s="30">
        <v>3.2</v>
      </c>
      <c r="L434" s="30">
        <f>F434*K434</f>
        <v>0.20275200000000002</v>
      </c>
      <c r="M434" s="30">
        <f>H434+J434+L434</f>
        <v>0.20275200000000002</v>
      </c>
      <c r="N434" s="60"/>
      <c r="O434" s="61"/>
      <c r="P434" s="62"/>
      <c r="Q434" s="61"/>
      <c r="R434" s="61"/>
      <c r="S434" s="101"/>
      <c r="AB434" s="4" t="s">
        <v>40</v>
      </c>
    </row>
    <row r="435" spans="1:33" s="112" customFormat="1" x14ac:dyDescent="0.25">
      <c r="A435" s="49" t="s">
        <v>39</v>
      </c>
      <c r="B435" s="68" t="s">
        <v>286</v>
      </c>
      <c r="C435" s="68" t="s">
        <v>287</v>
      </c>
      <c r="D435" s="83" t="s">
        <v>24</v>
      </c>
      <c r="E435" s="78"/>
      <c r="F435" s="100">
        <f>45*0.8*1.1</f>
        <v>39.6</v>
      </c>
      <c r="G435" s="79"/>
      <c r="H435" s="80"/>
      <c r="I435" s="57"/>
      <c r="J435" s="80"/>
      <c r="K435" s="80"/>
      <c r="L435" s="80"/>
      <c r="M435" s="57"/>
      <c r="N435" s="60"/>
      <c r="O435" s="61"/>
      <c r="P435" s="62"/>
      <c r="Q435" s="62"/>
      <c r="R435" s="61"/>
      <c r="S435" s="70"/>
      <c r="AB435" s="4" t="s">
        <v>40</v>
      </c>
    </row>
    <row r="436" spans="1:33" s="112" customFormat="1" x14ac:dyDescent="0.25">
      <c r="A436" s="77"/>
      <c r="B436" s="55"/>
      <c r="C436" s="55" t="s">
        <v>30</v>
      </c>
      <c r="D436" s="77" t="s">
        <v>24</v>
      </c>
      <c r="E436" s="82">
        <v>1</v>
      </c>
      <c r="F436" s="82">
        <f>E436*F435</f>
        <v>39.6</v>
      </c>
      <c r="G436" s="80"/>
      <c r="H436" s="80"/>
      <c r="I436" s="57">
        <v>7.5</v>
      </c>
      <c r="J436" s="57">
        <f t="shared" ref="J436" si="111">I436*F436</f>
        <v>297</v>
      </c>
      <c r="K436" s="80"/>
      <c r="L436" s="80"/>
      <c r="M436" s="57">
        <f>L436+J436+H436</f>
        <v>297</v>
      </c>
      <c r="N436" s="60"/>
      <c r="O436" s="61"/>
      <c r="P436" s="62"/>
      <c r="Q436" s="61"/>
      <c r="R436" s="61"/>
      <c r="S436" s="70"/>
      <c r="AB436" s="4" t="s">
        <v>40</v>
      </c>
    </row>
    <row r="437" spans="1:33" s="104" customFormat="1" x14ac:dyDescent="0.25">
      <c r="A437" s="77"/>
      <c r="B437" s="55"/>
      <c r="C437" s="55" t="s">
        <v>112</v>
      </c>
      <c r="D437" s="77" t="s">
        <v>251</v>
      </c>
      <c r="E437" s="82">
        <v>2.4E-2</v>
      </c>
      <c r="F437" s="82">
        <f>E437*F435</f>
        <v>0.95040000000000002</v>
      </c>
      <c r="G437" s="80"/>
      <c r="H437" s="80"/>
      <c r="I437" s="57"/>
      <c r="J437" s="80"/>
      <c r="K437" s="80">
        <v>5.6</v>
      </c>
      <c r="L437" s="80">
        <f t="shared" ref="L437:L438" si="112">K437*F437</f>
        <v>5.3222399999999999</v>
      </c>
      <c r="M437" s="57">
        <f>L437+J437+H437</f>
        <v>5.3222399999999999</v>
      </c>
      <c r="N437" s="60"/>
      <c r="O437" s="61"/>
      <c r="P437" s="62"/>
      <c r="Q437" s="61"/>
      <c r="R437" s="61"/>
      <c r="S437" s="70"/>
      <c r="T437" s="136"/>
      <c r="U437" s="136"/>
      <c r="V437" s="136"/>
      <c r="W437" s="136"/>
      <c r="X437" s="136"/>
      <c r="Y437" s="137"/>
      <c r="Z437" s="136"/>
      <c r="AA437" s="136"/>
      <c r="AB437" s="4" t="s">
        <v>40</v>
      </c>
      <c r="AC437" s="136"/>
      <c r="AD437" s="136"/>
      <c r="AE437" s="136"/>
      <c r="AF437" s="136"/>
      <c r="AG437" s="136"/>
    </row>
    <row r="438" spans="1:33" s="104" customFormat="1" x14ac:dyDescent="0.25">
      <c r="A438" s="77"/>
      <c r="B438" s="55"/>
      <c r="C438" s="55" t="s">
        <v>18</v>
      </c>
      <c r="D438" s="77" t="s">
        <v>1</v>
      </c>
      <c r="E438" s="82">
        <v>2.6000000000000002E-2</v>
      </c>
      <c r="F438" s="82">
        <f>E438*F435</f>
        <v>1.0296000000000001</v>
      </c>
      <c r="G438" s="80"/>
      <c r="H438" s="80"/>
      <c r="I438" s="57"/>
      <c r="J438" s="80"/>
      <c r="K438" s="80">
        <v>3.2</v>
      </c>
      <c r="L438" s="80">
        <f t="shared" si="112"/>
        <v>3.2947200000000003</v>
      </c>
      <c r="M438" s="57">
        <f>L438+J438+H438</f>
        <v>3.2947200000000003</v>
      </c>
      <c r="N438" s="60"/>
      <c r="O438" s="61"/>
      <c r="P438" s="62"/>
      <c r="Q438" s="61"/>
      <c r="R438" s="61"/>
      <c r="S438" s="70"/>
      <c r="T438" s="136"/>
      <c r="U438" s="136"/>
      <c r="V438" s="136"/>
      <c r="W438" s="136"/>
      <c r="X438" s="136"/>
      <c r="Y438" s="137"/>
      <c r="Z438" s="136"/>
      <c r="AA438" s="136"/>
      <c r="AB438" s="4" t="s">
        <v>40</v>
      </c>
      <c r="AC438" s="136"/>
      <c r="AD438" s="136"/>
      <c r="AE438" s="136"/>
      <c r="AF438" s="136"/>
      <c r="AG438" s="136"/>
    </row>
    <row r="439" spans="1:33" s="112" customFormat="1" x14ac:dyDescent="0.25">
      <c r="A439" s="77"/>
      <c r="B439" s="55"/>
      <c r="C439" s="55" t="s">
        <v>288</v>
      </c>
      <c r="D439" s="55" t="s">
        <v>67</v>
      </c>
      <c r="E439" s="82">
        <v>2.6800000000000001E-2</v>
      </c>
      <c r="F439" s="82">
        <f>E439*F435</f>
        <v>1.06128</v>
      </c>
      <c r="G439" s="80">
        <v>102</v>
      </c>
      <c r="H439" s="80">
        <f t="shared" ref="H439" si="113">G439*F439</f>
        <v>108.25056000000001</v>
      </c>
      <c r="I439" s="57"/>
      <c r="J439" s="80"/>
      <c r="K439" s="80"/>
      <c r="L439" s="80"/>
      <c r="M439" s="57">
        <f>L439+J439+H439</f>
        <v>108.25056000000001</v>
      </c>
      <c r="N439" s="60"/>
      <c r="O439" s="61"/>
      <c r="P439" s="62"/>
      <c r="Q439" s="61"/>
      <c r="R439" s="61"/>
      <c r="S439" s="70"/>
      <c r="AB439" s="4" t="s">
        <v>40</v>
      </c>
    </row>
    <row r="440" spans="1:33" s="81" customFormat="1" x14ac:dyDescent="0.25">
      <c r="A440" s="49" t="s">
        <v>39</v>
      </c>
      <c r="B440" s="68" t="s">
        <v>289</v>
      </c>
      <c r="C440" s="68" t="s">
        <v>290</v>
      </c>
      <c r="D440" s="83" t="s">
        <v>24</v>
      </c>
      <c r="E440" s="78"/>
      <c r="F440" s="100">
        <f>45*0.8*1.1</f>
        <v>39.6</v>
      </c>
      <c r="G440" s="79"/>
      <c r="H440" s="80"/>
      <c r="I440" s="57"/>
      <c r="J440" s="80"/>
      <c r="K440" s="80"/>
      <c r="L440" s="80"/>
      <c r="M440" s="57"/>
      <c r="N440" s="60"/>
      <c r="O440" s="61"/>
      <c r="P440" s="62"/>
      <c r="Q440" s="62"/>
      <c r="R440" s="61"/>
      <c r="S440" s="70"/>
      <c r="AB440" s="4" t="s">
        <v>40</v>
      </c>
    </row>
    <row r="441" spans="1:33" s="81" customFormat="1" x14ac:dyDescent="0.25">
      <c r="A441" s="77"/>
      <c r="B441" s="55"/>
      <c r="C441" s="55" t="s">
        <v>30</v>
      </c>
      <c r="D441" s="77" t="s">
        <v>24</v>
      </c>
      <c r="E441" s="82">
        <v>1</v>
      </c>
      <c r="F441" s="82">
        <f>E441*F440</f>
        <v>39.6</v>
      </c>
      <c r="G441" s="80"/>
      <c r="H441" s="80"/>
      <c r="I441" s="57">
        <v>1.5</v>
      </c>
      <c r="J441" s="57">
        <f t="shared" ref="J441" si="114">I441*F441</f>
        <v>59.400000000000006</v>
      </c>
      <c r="K441" s="80"/>
      <c r="L441" s="80"/>
      <c r="M441" s="57">
        <f>L441+J441+H441</f>
        <v>59.400000000000006</v>
      </c>
      <c r="N441" s="60"/>
      <c r="O441" s="61"/>
      <c r="P441" s="62"/>
      <c r="Q441" s="61"/>
      <c r="R441" s="61"/>
      <c r="S441" s="70"/>
      <c r="AB441" s="4" t="s">
        <v>40</v>
      </c>
    </row>
    <row r="442" spans="1:33" s="81" customFormat="1" x14ac:dyDescent="0.25">
      <c r="A442" s="77"/>
      <c r="B442" s="55"/>
      <c r="C442" s="55" t="s">
        <v>34</v>
      </c>
      <c r="D442" s="77" t="s">
        <v>1</v>
      </c>
      <c r="E442" s="82">
        <v>0.08</v>
      </c>
      <c r="F442" s="82">
        <f>E442*F440</f>
        <v>3.1680000000000001</v>
      </c>
      <c r="G442" s="80"/>
      <c r="H442" s="80"/>
      <c r="I442" s="57"/>
      <c r="J442" s="80"/>
      <c r="K442" s="80">
        <v>3.2</v>
      </c>
      <c r="L442" s="80">
        <f t="shared" ref="L442" si="115">K442*F442</f>
        <v>10.137600000000001</v>
      </c>
      <c r="M442" s="57">
        <f>L442+J442+H442</f>
        <v>10.137600000000001</v>
      </c>
      <c r="N442" s="60"/>
      <c r="O442" s="61"/>
      <c r="P442" s="62"/>
      <c r="Q442" s="61"/>
      <c r="R442" s="61"/>
      <c r="S442" s="70"/>
      <c r="AB442" s="4" t="s">
        <v>40</v>
      </c>
    </row>
    <row r="443" spans="1:33" s="81" customFormat="1" x14ac:dyDescent="0.25">
      <c r="A443" s="77"/>
      <c r="B443" s="55"/>
      <c r="C443" s="55" t="s">
        <v>80</v>
      </c>
      <c r="D443" s="55" t="s">
        <v>67</v>
      </c>
      <c r="E443" s="82">
        <v>4.0000000000000001E-3</v>
      </c>
      <c r="F443" s="82">
        <f>E443*F440</f>
        <v>0.15840000000000001</v>
      </c>
      <c r="G443" s="80">
        <v>95</v>
      </c>
      <c r="H443" s="80">
        <f t="shared" ref="H443:H445" si="116">G443*F443</f>
        <v>15.048000000000002</v>
      </c>
      <c r="I443" s="57"/>
      <c r="J443" s="80"/>
      <c r="K443" s="80"/>
      <c r="L443" s="80"/>
      <c r="M443" s="57">
        <f>L443+J443+H443</f>
        <v>15.048000000000002</v>
      </c>
      <c r="N443" s="60"/>
      <c r="O443" s="61"/>
      <c r="P443" s="62"/>
      <c r="Q443" s="61"/>
      <c r="R443" s="61"/>
      <c r="S443" s="70"/>
      <c r="AB443" s="4" t="s">
        <v>40</v>
      </c>
    </row>
    <row r="444" spans="1:33" s="81" customFormat="1" x14ac:dyDescent="0.25">
      <c r="A444" s="77"/>
      <c r="B444" s="55"/>
      <c r="C444" s="55" t="s">
        <v>131</v>
      </c>
      <c r="D444" s="77" t="s">
        <v>61</v>
      </c>
      <c r="E444" s="82">
        <v>0.1</v>
      </c>
      <c r="F444" s="82">
        <f>E444*F440</f>
        <v>3.9600000000000004</v>
      </c>
      <c r="G444" s="80">
        <v>2.5</v>
      </c>
      <c r="H444" s="80">
        <f t="shared" si="116"/>
        <v>9.9</v>
      </c>
      <c r="I444" s="57"/>
      <c r="J444" s="80"/>
      <c r="K444" s="80"/>
      <c r="L444" s="80"/>
      <c r="M444" s="57">
        <f>L444+J444+H444</f>
        <v>9.9</v>
      </c>
      <c r="N444" s="60"/>
      <c r="O444" s="61"/>
      <c r="P444" s="62"/>
      <c r="Q444" s="61"/>
      <c r="R444" s="61"/>
      <c r="S444" s="70"/>
      <c r="AB444" s="4" t="s">
        <v>40</v>
      </c>
    </row>
    <row r="445" spans="1:33" s="81" customFormat="1" x14ac:dyDescent="0.25">
      <c r="A445" s="77"/>
      <c r="B445" s="55"/>
      <c r="C445" s="55" t="s">
        <v>43</v>
      </c>
      <c r="D445" s="77" t="s">
        <v>1</v>
      </c>
      <c r="E445" s="82">
        <v>4.1999999999999997E-3</v>
      </c>
      <c r="F445" s="82">
        <f>E445*F440</f>
        <v>0.16632</v>
      </c>
      <c r="G445" s="80">
        <v>3.2</v>
      </c>
      <c r="H445" s="80">
        <f t="shared" si="116"/>
        <v>0.53222400000000003</v>
      </c>
      <c r="I445" s="57"/>
      <c r="J445" s="80"/>
      <c r="K445" s="80"/>
      <c r="L445" s="80"/>
      <c r="M445" s="57">
        <f>L445+J445+H445</f>
        <v>0.53222400000000003</v>
      </c>
      <c r="N445" s="60"/>
      <c r="O445" s="61"/>
      <c r="P445" s="62"/>
      <c r="Q445" s="61"/>
      <c r="R445" s="61"/>
      <c r="S445" s="70"/>
      <c r="AB445" s="4" t="s">
        <v>40</v>
      </c>
    </row>
    <row r="446" spans="1:33" s="84" customFormat="1" ht="27" x14ac:dyDescent="0.25">
      <c r="A446" s="49" t="s">
        <v>39</v>
      </c>
      <c r="B446" s="48" t="s">
        <v>291</v>
      </c>
      <c r="C446" s="48" t="s">
        <v>293</v>
      </c>
      <c r="D446" s="48" t="s">
        <v>24</v>
      </c>
      <c r="E446" s="67"/>
      <c r="F446" s="100">
        <f>45*0.8*1.1</f>
        <v>39.6</v>
      </c>
      <c r="G446" s="48"/>
      <c r="H446" s="57"/>
      <c r="I446" s="48"/>
      <c r="J446" s="57"/>
      <c r="K446" s="48"/>
      <c r="L446" s="57"/>
      <c r="M446" s="57"/>
      <c r="N446" s="60"/>
      <c r="O446" s="61"/>
      <c r="P446" s="62"/>
      <c r="Q446" s="62"/>
      <c r="R446" s="61"/>
      <c r="AB446" s="4" t="s">
        <v>40</v>
      </c>
    </row>
    <row r="447" spans="1:33" s="84" customFormat="1" x14ac:dyDescent="0.25">
      <c r="A447" s="91"/>
      <c r="B447" s="48"/>
      <c r="C447" s="55" t="s">
        <v>30</v>
      </c>
      <c r="D447" s="57" t="s">
        <v>56</v>
      </c>
      <c r="E447" s="58">
        <v>0.19699999999999998</v>
      </c>
      <c r="F447" s="58">
        <f>F446*E447</f>
        <v>7.8011999999999997</v>
      </c>
      <c r="G447" s="57"/>
      <c r="H447" s="57"/>
      <c r="I447" s="57">
        <v>8.5</v>
      </c>
      <c r="J447" s="57">
        <f t="shared" ref="J447" si="117">I447*F447</f>
        <v>66.310199999999995</v>
      </c>
      <c r="K447" s="57"/>
      <c r="L447" s="57"/>
      <c r="M447" s="57">
        <f t="shared" ref="M447:M450" si="118">L447+J447+H447</f>
        <v>66.310199999999995</v>
      </c>
      <c r="N447" s="60"/>
      <c r="O447" s="61"/>
      <c r="P447" s="62"/>
      <c r="Q447" s="102"/>
      <c r="R447" s="61"/>
      <c r="S447" s="103"/>
      <c r="AB447" s="4" t="s">
        <v>40</v>
      </c>
    </row>
    <row r="448" spans="1:33" s="84" customFormat="1" x14ac:dyDescent="0.25">
      <c r="A448" s="91"/>
      <c r="B448" s="48"/>
      <c r="C448" s="57" t="s">
        <v>34</v>
      </c>
      <c r="D448" s="57" t="s">
        <v>61</v>
      </c>
      <c r="E448" s="58">
        <v>5.9999999999999995E-4</v>
      </c>
      <c r="F448" s="58">
        <f>F446*E448</f>
        <v>2.376E-2</v>
      </c>
      <c r="G448" s="57"/>
      <c r="H448" s="57"/>
      <c r="I448" s="57"/>
      <c r="J448" s="57"/>
      <c r="K448" s="57">
        <v>3.2</v>
      </c>
      <c r="L448" s="57">
        <f t="shared" ref="L448" si="119">K448*F448</f>
        <v>7.6032000000000002E-2</v>
      </c>
      <c r="M448" s="57">
        <f t="shared" si="118"/>
        <v>7.6032000000000002E-2</v>
      </c>
      <c r="N448" s="60"/>
      <c r="O448" s="61"/>
      <c r="P448" s="62"/>
      <c r="Q448" s="74"/>
      <c r="R448" s="61"/>
      <c r="AB448" s="4" t="s">
        <v>40</v>
      </c>
    </row>
    <row r="449" spans="1:28" s="84" customFormat="1" x14ac:dyDescent="0.25">
      <c r="A449" s="91"/>
      <c r="B449" s="48"/>
      <c r="C449" s="57" t="s">
        <v>292</v>
      </c>
      <c r="D449" s="57" t="s">
        <v>61</v>
      </c>
      <c r="E449" s="58">
        <v>0.45</v>
      </c>
      <c r="F449" s="58">
        <f>F446*E449</f>
        <v>17.82</v>
      </c>
      <c r="G449" s="57">
        <v>6.5</v>
      </c>
      <c r="H449" s="57">
        <f t="shared" ref="H449:H450" si="120">G449*F449</f>
        <v>115.83</v>
      </c>
      <c r="I449" s="57"/>
      <c r="J449" s="57"/>
      <c r="K449" s="57"/>
      <c r="L449" s="57"/>
      <c r="M449" s="57">
        <f t="shared" si="118"/>
        <v>115.83</v>
      </c>
      <c r="N449" s="60"/>
      <c r="O449" s="61"/>
      <c r="P449" s="62"/>
      <c r="Q449" s="74"/>
      <c r="R449" s="61"/>
      <c r="AB449" s="4" t="s">
        <v>40</v>
      </c>
    </row>
    <row r="450" spans="1:28" s="84" customFormat="1" x14ac:dyDescent="0.25">
      <c r="A450" s="91"/>
      <c r="B450" s="48"/>
      <c r="C450" s="57" t="s">
        <v>43</v>
      </c>
      <c r="D450" s="57" t="s">
        <v>1</v>
      </c>
      <c r="E450" s="58">
        <v>1.2999999999999999E-3</v>
      </c>
      <c r="F450" s="58">
        <f>F446*E450</f>
        <v>5.1479999999999998E-2</v>
      </c>
      <c r="G450" s="57">
        <v>3.2</v>
      </c>
      <c r="H450" s="57">
        <f t="shared" si="120"/>
        <v>0.16473599999999999</v>
      </c>
      <c r="I450" s="57"/>
      <c r="J450" s="57"/>
      <c r="K450" s="57"/>
      <c r="L450" s="57"/>
      <c r="M450" s="57">
        <f t="shared" si="118"/>
        <v>0.16473599999999999</v>
      </c>
      <c r="N450" s="60"/>
      <c r="O450" s="61"/>
      <c r="P450" s="62"/>
      <c r="Q450" s="74"/>
      <c r="R450" s="61"/>
      <c r="AB450" s="4" t="s">
        <v>40</v>
      </c>
    </row>
    <row r="451" spans="1:28" x14ac:dyDescent="0.25">
      <c r="A451" s="49" t="s">
        <v>39</v>
      </c>
      <c r="B451" s="151"/>
      <c r="C451" s="134" t="s">
        <v>284</v>
      </c>
      <c r="D451" s="142"/>
      <c r="E451" s="113"/>
      <c r="F451" s="149"/>
      <c r="G451" s="114"/>
      <c r="H451" s="115"/>
      <c r="I451" s="116"/>
      <c r="J451" s="114"/>
      <c r="K451" s="116"/>
      <c r="L451" s="115"/>
      <c r="M451" s="116"/>
      <c r="AB451" s="4" t="s">
        <v>40</v>
      </c>
    </row>
    <row r="452" spans="1:28" s="71" customFormat="1" ht="40.5" x14ac:dyDescent="0.25">
      <c r="A452" s="49" t="s">
        <v>39</v>
      </c>
      <c r="B452" s="68" t="s">
        <v>294</v>
      </c>
      <c r="C452" s="68" t="s">
        <v>300</v>
      </c>
      <c r="D452" s="68" t="s">
        <v>67</v>
      </c>
      <c r="E452" s="78"/>
      <c r="F452" s="78">
        <v>1.2</v>
      </c>
      <c r="G452" s="79"/>
      <c r="H452" s="80"/>
      <c r="I452" s="57"/>
      <c r="J452" s="80"/>
      <c r="K452" s="80"/>
      <c r="L452" s="80"/>
      <c r="M452" s="57"/>
      <c r="N452" s="60"/>
      <c r="O452" s="61"/>
      <c r="P452" s="62"/>
      <c r="Q452" s="62"/>
      <c r="R452" s="61"/>
      <c r="S452" s="70"/>
      <c r="AB452" s="4" t="s">
        <v>40</v>
      </c>
    </row>
    <row r="453" spans="1:28" s="71" customFormat="1" x14ac:dyDescent="0.25">
      <c r="A453" s="77"/>
      <c r="B453" s="55"/>
      <c r="C453" s="55" t="s">
        <v>30</v>
      </c>
      <c r="D453" s="55" t="s">
        <v>67</v>
      </c>
      <c r="E453" s="82">
        <v>1</v>
      </c>
      <c r="F453" s="82">
        <f>E453*F452</f>
        <v>1.2</v>
      </c>
      <c r="G453" s="80"/>
      <c r="H453" s="80"/>
      <c r="I453" s="57">
        <v>150</v>
      </c>
      <c r="J453" s="57">
        <f t="shared" ref="J453" si="121">I453*F453</f>
        <v>180</v>
      </c>
      <c r="K453" s="80"/>
      <c r="L453" s="80"/>
      <c r="M453" s="57">
        <f t="shared" ref="M453:M459" si="122">L453+J453+H453</f>
        <v>180</v>
      </c>
      <c r="N453" s="60"/>
      <c r="O453" s="61"/>
      <c r="P453" s="62"/>
      <c r="Q453" s="61"/>
      <c r="R453" s="61"/>
      <c r="S453" s="70"/>
      <c r="AB453" s="4" t="s">
        <v>40</v>
      </c>
    </row>
    <row r="454" spans="1:28" s="71" customFormat="1" x14ac:dyDescent="0.25">
      <c r="A454" s="77"/>
      <c r="B454" s="55"/>
      <c r="C454" s="55" t="s">
        <v>18</v>
      </c>
      <c r="D454" s="77" t="s">
        <v>1</v>
      </c>
      <c r="E454" s="82">
        <v>1.3</v>
      </c>
      <c r="F454" s="82">
        <f>E454*F452</f>
        <v>1.56</v>
      </c>
      <c r="G454" s="80"/>
      <c r="H454" s="80"/>
      <c r="I454" s="57"/>
      <c r="J454" s="80"/>
      <c r="K454" s="80">
        <v>3.2</v>
      </c>
      <c r="L454" s="80">
        <f t="shared" ref="L454" si="123">K454*F454</f>
        <v>4.9920000000000009</v>
      </c>
      <c r="M454" s="57">
        <f t="shared" si="122"/>
        <v>4.9920000000000009</v>
      </c>
      <c r="N454" s="60"/>
      <c r="O454" s="61"/>
      <c r="P454" s="62"/>
      <c r="Q454" s="61"/>
      <c r="R454" s="61"/>
      <c r="S454" s="70"/>
      <c r="AB454" s="4" t="s">
        <v>40</v>
      </c>
    </row>
    <row r="455" spans="1:28" s="71" customFormat="1" x14ac:dyDescent="0.25">
      <c r="A455" s="77"/>
      <c r="B455" s="55"/>
      <c r="C455" s="55" t="s">
        <v>295</v>
      </c>
      <c r="D455" s="55" t="s">
        <v>67</v>
      </c>
      <c r="E455" s="82">
        <v>1.01</v>
      </c>
      <c r="F455" s="82">
        <f>E455*F452</f>
        <v>1.212</v>
      </c>
      <c r="G455" s="80">
        <v>450</v>
      </c>
      <c r="H455" s="80">
        <f t="shared" ref="H455:H459" si="124">G455*F455</f>
        <v>545.4</v>
      </c>
      <c r="I455" s="57"/>
      <c r="J455" s="80"/>
      <c r="K455" s="80"/>
      <c r="L455" s="80"/>
      <c r="M455" s="57">
        <f t="shared" si="122"/>
        <v>545.4</v>
      </c>
      <c r="N455" s="60"/>
      <c r="O455" s="61"/>
      <c r="P455" s="62"/>
      <c r="Q455" s="61"/>
      <c r="R455" s="61"/>
      <c r="S455" s="70"/>
      <c r="AB455" s="4" t="s">
        <v>40</v>
      </c>
    </row>
    <row r="456" spans="1:28" s="71" customFormat="1" x14ac:dyDescent="0.25">
      <c r="A456" s="77"/>
      <c r="B456" s="55"/>
      <c r="C456" s="55" t="s">
        <v>276</v>
      </c>
      <c r="D456" s="77" t="s">
        <v>61</v>
      </c>
      <c r="E456" s="82">
        <v>7.5</v>
      </c>
      <c r="F456" s="82">
        <f>E456*F452</f>
        <v>9</v>
      </c>
      <c r="G456" s="80">
        <v>2.5</v>
      </c>
      <c r="H456" s="80">
        <f t="shared" si="124"/>
        <v>22.5</v>
      </c>
      <c r="I456" s="57"/>
      <c r="J456" s="80"/>
      <c r="K456" s="80"/>
      <c r="L456" s="80"/>
      <c r="M456" s="57">
        <f t="shared" si="122"/>
        <v>22.5</v>
      </c>
      <c r="N456" s="60"/>
      <c r="O456" s="61"/>
      <c r="P456" s="62"/>
      <c r="Q456" s="61"/>
      <c r="R456" s="61"/>
      <c r="S456" s="70"/>
      <c r="AB456" s="4" t="s">
        <v>40</v>
      </c>
    </row>
    <row r="457" spans="1:28" s="71" customFormat="1" x14ac:dyDescent="0.25">
      <c r="A457" s="77"/>
      <c r="B457" s="55"/>
      <c r="C457" s="55" t="s">
        <v>296</v>
      </c>
      <c r="D457" s="77" t="s">
        <v>61</v>
      </c>
      <c r="E457" s="82">
        <v>3.01</v>
      </c>
      <c r="F457" s="82">
        <f>E457*F452</f>
        <v>3.6119999999999997</v>
      </c>
      <c r="G457" s="80">
        <v>4.5</v>
      </c>
      <c r="H457" s="80">
        <f t="shared" si="124"/>
        <v>16.253999999999998</v>
      </c>
      <c r="I457" s="57"/>
      <c r="J457" s="80"/>
      <c r="K457" s="80"/>
      <c r="L457" s="80"/>
      <c r="M457" s="57">
        <f t="shared" si="122"/>
        <v>16.253999999999998</v>
      </c>
      <c r="N457" s="60"/>
      <c r="O457" s="61"/>
      <c r="P457" s="62"/>
      <c r="Q457" s="61"/>
      <c r="R457" s="61"/>
      <c r="S457" s="70"/>
      <c r="AB457" s="4" t="s">
        <v>40</v>
      </c>
    </row>
    <row r="458" spans="1:28" s="71" customFormat="1" x14ac:dyDescent="0.25">
      <c r="A458" s="77"/>
      <c r="B458" s="55"/>
      <c r="C458" s="55" t="s">
        <v>297</v>
      </c>
      <c r="D458" s="77" t="s">
        <v>61</v>
      </c>
      <c r="E458" s="82">
        <v>3.08</v>
      </c>
      <c r="F458" s="82">
        <f>E458*F452</f>
        <v>3.6959999999999997</v>
      </c>
      <c r="G458" s="80">
        <v>2.2000000000000002</v>
      </c>
      <c r="H458" s="80">
        <f t="shared" si="124"/>
        <v>8.1311999999999998</v>
      </c>
      <c r="I458" s="57"/>
      <c r="J458" s="80"/>
      <c r="K458" s="80"/>
      <c r="L458" s="80"/>
      <c r="M458" s="57">
        <f t="shared" si="122"/>
        <v>8.1311999999999998</v>
      </c>
      <c r="N458" s="60"/>
      <c r="O458" s="61"/>
      <c r="P458" s="62"/>
      <c r="Q458" s="61"/>
      <c r="R458" s="61"/>
      <c r="S458" s="70"/>
      <c r="AB458" s="4" t="s">
        <v>40</v>
      </c>
    </row>
    <row r="459" spans="1:28" s="71" customFormat="1" x14ac:dyDescent="0.25">
      <c r="A459" s="77"/>
      <c r="B459" s="55"/>
      <c r="C459" s="55" t="s">
        <v>43</v>
      </c>
      <c r="D459" s="77" t="s">
        <v>1</v>
      </c>
      <c r="E459" s="82">
        <v>1.38</v>
      </c>
      <c r="F459" s="82">
        <f>E459*F452</f>
        <v>1.6559999999999999</v>
      </c>
      <c r="G459" s="80">
        <v>3.2</v>
      </c>
      <c r="H459" s="80">
        <f t="shared" si="124"/>
        <v>5.2991999999999999</v>
      </c>
      <c r="I459" s="57"/>
      <c r="J459" s="80"/>
      <c r="K459" s="80"/>
      <c r="L459" s="80"/>
      <c r="M459" s="57">
        <f t="shared" si="122"/>
        <v>5.2991999999999999</v>
      </c>
      <c r="N459" s="60"/>
      <c r="O459" s="61"/>
      <c r="P459" s="62"/>
      <c r="Q459" s="61"/>
      <c r="R459" s="61"/>
      <c r="S459" s="70"/>
      <c r="AB459" s="4" t="s">
        <v>40</v>
      </c>
    </row>
    <row r="460" spans="1:28" s="71" customFormat="1" ht="27" x14ac:dyDescent="0.25">
      <c r="A460" s="49" t="s">
        <v>39</v>
      </c>
      <c r="B460" s="68" t="s">
        <v>301</v>
      </c>
      <c r="C460" s="68" t="s">
        <v>303</v>
      </c>
      <c r="D460" s="68" t="s">
        <v>24</v>
      </c>
      <c r="E460" s="67"/>
      <c r="F460" s="67">
        <f>6.5*7</f>
        <v>45.5</v>
      </c>
      <c r="G460" s="48"/>
      <c r="H460" s="80"/>
      <c r="I460" s="48"/>
      <c r="J460" s="80"/>
      <c r="K460" s="48"/>
      <c r="L460" s="80"/>
      <c r="M460" s="48"/>
      <c r="N460" s="60"/>
      <c r="O460" s="61"/>
      <c r="P460" s="62"/>
      <c r="Q460" s="62"/>
      <c r="R460" s="61"/>
      <c r="AB460" s="4" t="s">
        <v>40</v>
      </c>
    </row>
    <row r="461" spans="1:28" s="71" customFormat="1" x14ac:dyDescent="0.25">
      <c r="A461" s="55"/>
      <c r="B461" s="56"/>
      <c r="C461" s="55" t="s">
        <v>30</v>
      </c>
      <c r="D461" s="55" t="s">
        <v>24</v>
      </c>
      <c r="E461" s="82">
        <v>1</v>
      </c>
      <c r="F461" s="82">
        <f>E461*F460</f>
        <v>45.5</v>
      </c>
      <c r="G461" s="80"/>
      <c r="H461" s="80"/>
      <c r="I461" s="57">
        <v>6.25</v>
      </c>
      <c r="J461" s="57">
        <f t="shared" ref="J461" si="125">I461*F461</f>
        <v>284.375</v>
      </c>
      <c r="K461" s="80"/>
      <c r="L461" s="80"/>
      <c r="M461" s="57">
        <f>L461+J461+H461</f>
        <v>284.375</v>
      </c>
      <c r="N461" s="60"/>
      <c r="O461" s="61"/>
      <c r="P461" s="62"/>
      <c r="Q461" s="106"/>
      <c r="R461" s="61"/>
      <c r="AB461" s="4" t="s">
        <v>40</v>
      </c>
    </row>
    <row r="462" spans="1:28" s="71" customFormat="1" x14ac:dyDescent="0.25">
      <c r="A462" s="138"/>
      <c r="B462" s="138"/>
      <c r="C462" s="131" t="s">
        <v>34</v>
      </c>
      <c r="D462" s="77" t="s">
        <v>1</v>
      </c>
      <c r="E462" s="82">
        <v>2.76E-2</v>
      </c>
      <c r="F462" s="82">
        <f>E462*F460</f>
        <v>1.2558</v>
      </c>
      <c r="G462" s="80"/>
      <c r="H462" s="80"/>
      <c r="I462" s="57"/>
      <c r="J462" s="80"/>
      <c r="K462" s="80">
        <v>3.2</v>
      </c>
      <c r="L462" s="80">
        <f t="shared" ref="L462" si="126">K462*F462</f>
        <v>4.0185599999999999</v>
      </c>
      <c r="M462" s="57">
        <f>L462+J462+H462</f>
        <v>4.0185599999999999</v>
      </c>
      <c r="N462" s="60"/>
      <c r="O462" s="61"/>
      <c r="P462" s="62"/>
      <c r="Q462" s="106"/>
      <c r="R462" s="61"/>
      <c r="AB462" s="4" t="s">
        <v>40</v>
      </c>
    </row>
    <row r="463" spans="1:28" s="69" customFormat="1" x14ac:dyDescent="0.25">
      <c r="A463" s="138"/>
      <c r="B463" s="138"/>
      <c r="C463" s="131" t="s">
        <v>302</v>
      </c>
      <c r="D463" s="77" t="s">
        <v>67</v>
      </c>
      <c r="E463" s="82">
        <v>2.1000000000000001E-2</v>
      </c>
      <c r="F463" s="82">
        <f>E463*F460</f>
        <v>0.95550000000000002</v>
      </c>
      <c r="G463" s="80">
        <v>450</v>
      </c>
      <c r="H463" s="80">
        <f t="shared" ref="H463:H465" si="127">G463*F463</f>
        <v>429.97500000000002</v>
      </c>
      <c r="I463" s="57"/>
      <c r="J463" s="80"/>
      <c r="K463" s="80"/>
      <c r="L463" s="80"/>
      <c r="M463" s="57">
        <f>L463+J463+H463</f>
        <v>429.97500000000002</v>
      </c>
      <c r="N463" s="60"/>
      <c r="O463" s="61"/>
      <c r="P463" s="62"/>
      <c r="Q463" s="106"/>
      <c r="R463" s="61"/>
      <c r="S463" s="71"/>
      <c r="AB463" s="4" t="s">
        <v>40</v>
      </c>
    </row>
    <row r="464" spans="1:28" s="71" customFormat="1" x14ac:dyDescent="0.25">
      <c r="A464" s="138"/>
      <c r="B464" s="138"/>
      <c r="C464" s="131" t="s">
        <v>128</v>
      </c>
      <c r="D464" s="77" t="s">
        <v>61</v>
      </c>
      <c r="E464" s="82">
        <v>7.0000000000000007E-2</v>
      </c>
      <c r="F464" s="82">
        <f>E464*F460</f>
        <v>3.1850000000000005</v>
      </c>
      <c r="G464" s="80">
        <v>2.8</v>
      </c>
      <c r="H464" s="80">
        <f t="shared" si="127"/>
        <v>8.918000000000001</v>
      </c>
      <c r="I464" s="57"/>
      <c r="J464" s="80"/>
      <c r="K464" s="80"/>
      <c r="L464" s="80"/>
      <c r="M464" s="57">
        <f>L464+J464+H464</f>
        <v>8.918000000000001</v>
      </c>
      <c r="N464" s="60"/>
      <c r="O464" s="61"/>
      <c r="P464" s="62"/>
      <c r="Q464" s="106"/>
      <c r="R464" s="61"/>
      <c r="AB464" s="4" t="s">
        <v>40</v>
      </c>
    </row>
    <row r="465" spans="1:28" s="71" customFormat="1" x14ac:dyDescent="0.25">
      <c r="A465" s="138"/>
      <c r="B465" s="138"/>
      <c r="C465" s="55" t="s">
        <v>74</v>
      </c>
      <c r="D465" s="77" t="s">
        <v>1</v>
      </c>
      <c r="E465" s="82">
        <v>4.4400000000000002E-2</v>
      </c>
      <c r="F465" s="82">
        <f>E465*F460</f>
        <v>2.0202</v>
      </c>
      <c r="G465" s="80">
        <v>3.2</v>
      </c>
      <c r="H465" s="80">
        <f t="shared" si="127"/>
        <v>6.4646400000000002</v>
      </c>
      <c r="I465" s="57"/>
      <c r="J465" s="80"/>
      <c r="K465" s="80"/>
      <c r="L465" s="80"/>
      <c r="M465" s="57">
        <f>L465+J465+H465</f>
        <v>6.4646400000000002</v>
      </c>
      <c r="N465" s="60"/>
      <c r="O465" s="61"/>
      <c r="P465" s="62"/>
      <c r="Q465" s="63"/>
      <c r="R465" s="61"/>
      <c r="AB465" s="4" t="s">
        <v>40</v>
      </c>
    </row>
    <row r="466" spans="1:28" s="64" customFormat="1" ht="40.5" x14ac:dyDescent="0.25">
      <c r="A466" s="49" t="s">
        <v>39</v>
      </c>
      <c r="B466" s="24" t="s">
        <v>152</v>
      </c>
      <c r="C466" s="24" t="s">
        <v>299</v>
      </c>
      <c r="D466" s="83" t="s">
        <v>24</v>
      </c>
      <c r="E466" s="25"/>
      <c r="F466" s="67">
        <f>6.5*7</f>
        <v>45.5</v>
      </c>
      <c r="G466" s="79"/>
      <c r="H466" s="80"/>
      <c r="I466" s="57"/>
      <c r="J466" s="80"/>
      <c r="K466" s="80"/>
      <c r="L466" s="80"/>
      <c r="M466" s="57"/>
      <c r="N466" s="60"/>
      <c r="O466" s="61"/>
      <c r="P466" s="62"/>
      <c r="Q466" s="62"/>
      <c r="R466" s="61"/>
      <c r="S466" s="70"/>
      <c r="AB466" s="4" t="s">
        <v>40</v>
      </c>
    </row>
    <row r="467" spans="1:28" s="64" customFormat="1" x14ac:dyDescent="0.25">
      <c r="A467" s="109"/>
      <c r="B467" s="26"/>
      <c r="C467" s="26" t="s">
        <v>30</v>
      </c>
      <c r="D467" s="77" t="s">
        <v>56</v>
      </c>
      <c r="E467" s="110">
        <v>1</v>
      </c>
      <c r="F467" s="110">
        <f>F466*E467</f>
        <v>45.5</v>
      </c>
      <c r="G467" s="26"/>
      <c r="H467" s="80"/>
      <c r="I467" s="26">
        <v>7.5</v>
      </c>
      <c r="J467" s="57">
        <f t="shared" ref="J467" si="128">I467*F467</f>
        <v>341.25</v>
      </c>
      <c r="K467" s="26"/>
      <c r="L467" s="80"/>
      <c r="M467" s="26">
        <f>H467+J467+L467</f>
        <v>341.25</v>
      </c>
      <c r="N467" s="60"/>
      <c r="O467" s="61"/>
      <c r="P467" s="62"/>
      <c r="Q467" s="61"/>
      <c r="R467" s="61"/>
      <c r="S467" s="70"/>
      <c r="AB467" s="4" t="s">
        <v>40</v>
      </c>
    </row>
    <row r="468" spans="1:28" s="64" customFormat="1" x14ac:dyDescent="0.25">
      <c r="A468" s="109"/>
      <c r="B468" s="26"/>
      <c r="C468" s="26" t="s">
        <v>18</v>
      </c>
      <c r="D468" s="77" t="s">
        <v>1</v>
      </c>
      <c r="E468" s="110">
        <v>4.1000000000000003E-3</v>
      </c>
      <c r="F468" s="110">
        <f>F466*E468</f>
        <v>0.18655000000000002</v>
      </c>
      <c r="G468" s="26"/>
      <c r="H468" s="80"/>
      <c r="I468" s="26"/>
      <c r="J468" s="80"/>
      <c r="K468" s="26">
        <v>3.2</v>
      </c>
      <c r="L468" s="80">
        <f t="shared" ref="L468" si="129">K468*F468</f>
        <v>0.59696000000000005</v>
      </c>
      <c r="M468" s="26">
        <f>H468+J468+L468</f>
        <v>0.59696000000000005</v>
      </c>
      <c r="N468" s="60"/>
      <c r="O468" s="61"/>
      <c r="P468" s="62"/>
      <c r="Q468" s="61"/>
      <c r="R468" s="61"/>
      <c r="S468" s="70"/>
      <c r="AB468" s="4" t="s">
        <v>40</v>
      </c>
    </row>
    <row r="469" spans="1:28" s="64" customFormat="1" x14ac:dyDescent="0.25">
      <c r="A469" s="109"/>
      <c r="B469" s="26"/>
      <c r="C469" s="26" t="s">
        <v>298</v>
      </c>
      <c r="D469" s="77" t="s">
        <v>24</v>
      </c>
      <c r="E469" s="110">
        <v>1.17</v>
      </c>
      <c r="F469" s="110">
        <f>F466*E469</f>
        <v>53.234999999999999</v>
      </c>
      <c r="G469" s="26">
        <v>8.4</v>
      </c>
      <c r="H469" s="80">
        <f t="shared" ref="H469:H470" si="130">G469*F469</f>
        <v>447.17400000000004</v>
      </c>
      <c r="I469" s="26"/>
      <c r="J469" s="80"/>
      <c r="K469" s="26"/>
      <c r="L469" s="80"/>
      <c r="M469" s="26">
        <f>H469+J469+L469</f>
        <v>447.17400000000004</v>
      </c>
      <c r="N469" s="60"/>
      <c r="O469" s="61"/>
      <c r="P469" s="62"/>
      <c r="Q469" s="61"/>
      <c r="R469" s="61"/>
      <c r="S469" s="70"/>
      <c r="AB469" s="4" t="s">
        <v>40</v>
      </c>
    </row>
    <row r="470" spans="1:28" s="64" customFormat="1" x14ac:dyDescent="0.25">
      <c r="A470" s="109"/>
      <c r="B470" s="26"/>
      <c r="C470" s="26" t="s">
        <v>74</v>
      </c>
      <c r="D470" s="77" t="s">
        <v>1</v>
      </c>
      <c r="E470" s="110">
        <v>7.8E-2</v>
      </c>
      <c r="F470" s="110">
        <f>F466*E470</f>
        <v>3.5489999999999999</v>
      </c>
      <c r="G470" s="26">
        <v>3.2</v>
      </c>
      <c r="H470" s="80">
        <f t="shared" si="130"/>
        <v>11.3568</v>
      </c>
      <c r="I470" s="26"/>
      <c r="J470" s="80"/>
      <c r="K470" s="26"/>
      <c r="L470" s="80"/>
      <c r="M470" s="26">
        <f>H470+J470+L470</f>
        <v>11.3568</v>
      </c>
      <c r="N470" s="60"/>
      <c r="O470" s="61"/>
      <c r="P470" s="62"/>
      <c r="Q470" s="61"/>
      <c r="R470" s="61"/>
      <c r="S470" s="70"/>
      <c r="AB470" s="4" t="s">
        <v>40</v>
      </c>
    </row>
    <row r="471" spans="1:28" x14ac:dyDescent="0.25">
      <c r="A471" s="49" t="s">
        <v>39</v>
      </c>
      <c r="B471" s="151"/>
      <c r="C471" s="134"/>
      <c r="D471" s="142"/>
      <c r="E471" s="113"/>
      <c r="F471" s="149"/>
      <c r="G471" s="114"/>
      <c r="H471" s="115"/>
      <c r="I471" s="116"/>
      <c r="J471" s="114"/>
      <c r="K471" s="116"/>
      <c r="L471" s="115"/>
      <c r="M471" s="116"/>
      <c r="AB471" s="4" t="s">
        <v>40</v>
      </c>
    </row>
    <row r="472" spans="1:28" x14ac:dyDescent="0.25">
      <c r="A472" s="27" t="s">
        <v>40</v>
      </c>
      <c r="B472" s="44"/>
      <c r="C472" s="32" t="s">
        <v>22</v>
      </c>
      <c r="D472" s="45"/>
      <c r="E472" s="46"/>
      <c r="F472" s="43"/>
      <c r="G472" s="44"/>
      <c r="H472" s="32">
        <f>SUM(H9:H471)</f>
        <v>26723.886702339998</v>
      </c>
      <c r="I472" s="44"/>
      <c r="J472" s="32">
        <f>SUM(J9:J471)</f>
        <v>16085.823434</v>
      </c>
      <c r="K472" s="42"/>
      <c r="L472" s="32">
        <f>SUM(L9:L471)</f>
        <v>518.13131906399997</v>
      </c>
      <c r="M472" s="32">
        <f>L472+J472+H472</f>
        <v>43327.841455403999</v>
      </c>
      <c r="O472" s="8"/>
      <c r="AB472" s="4" t="s">
        <v>40</v>
      </c>
    </row>
    <row r="473" spans="1:28" s="28" customFormat="1" x14ac:dyDescent="0.25">
      <c r="A473" s="27" t="s">
        <v>40</v>
      </c>
      <c r="B473" s="32"/>
      <c r="C473" s="32" t="s">
        <v>26</v>
      </c>
      <c r="D473" s="47">
        <v>0.1</v>
      </c>
      <c r="E473" s="33"/>
      <c r="F473" s="33"/>
      <c r="G473" s="32"/>
      <c r="H473" s="32">
        <f>H472*D473</f>
        <v>2672.3886702340001</v>
      </c>
      <c r="I473" s="32"/>
      <c r="J473" s="32">
        <f>J472*D473</f>
        <v>1608.5823434000001</v>
      </c>
      <c r="K473" s="32"/>
      <c r="L473" s="32">
        <f>L472*D473</f>
        <v>51.813131906400002</v>
      </c>
      <c r="M473" s="32">
        <f>L473+J473+H473</f>
        <v>4332.7841455404005</v>
      </c>
      <c r="O473" s="8"/>
      <c r="R473" s="4"/>
      <c r="AB473" s="4" t="s">
        <v>40</v>
      </c>
    </row>
    <row r="474" spans="1:28" s="28" customFormat="1" x14ac:dyDescent="0.25">
      <c r="A474" s="27" t="s">
        <v>40</v>
      </c>
      <c r="B474" s="32"/>
      <c r="C474" s="32" t="s">
        <v>22</v>
      </c>
      <c r="D474" s="47"/>
      <c r="E474" s="33"/>
      <c r="F474" s="33"/>
      <c r="G474" s="32"/>
      <c r="H474" s="32">
        <f>H472+H473</f>
        <v>29396.275372573997</v>
      </c>
      <c r="I474" s="32"/>
      <c r="J474" s="32">
        <f>J472+J473</f>
        <v>17694.405777399999</v>
      </c>
      <c r="K474" s="32"/>
      <c r="L474" s="32">
        <f>L472+L473</f>
        <v>569.9444509704</v>
      </c>
      <c r="M474" s="32">
        <f>L474+J474+H474</f>
        <v>47660.625600944397</v>
      </c>
      <c r="O474" s="8"/>
      <c r="R474" s="4"/>
      <c r="AB474" s="4" t="s">
        <v>40</v>
      </c>
    </row>
    <row r="475" spans="1:28" s="28" customFormat="1" x14ac:dyDescent="0.25">
      <c r="A475" s="27" t="s">
        <v>40</v>
      </c>
      <c r="B475" s="32"/>
      <c r="C475" s="32" t="s">
        <v>27</v>
      </c>
      <c r="D475" s="47">
        <v>0.08</v>
      </c>
      <c r="E475" s="33"/>
      <c r="F475" s="33"/>
      <c r="G475" s="32"/>
      <c r="H475" s="32">
        <f>H474*D475</f>
        <v>2351.7020298059197</v>
      </c>
      <c r="I475" s="32"/>
      <c r="J475" s="32">
        <f>J474*D475</f>
        <v>1415.5524621919999</v>
      </c>
      <c r="K475" s="32"/>
      <c r="L475" s="32">
        <f>L474*D475</f>
        <v>45.595556077632004</v>
      </c>
      <c r="M475" s="32">
        <f>L475+J475+H475</f>
        <v>3812.8500480755515</v>
      </c>
      <c r="O475" s="8"/>
      <c r="R475" s="4"/>
      <c r="AB475" s="4" t="s">
        <v>40</v>
      </c>
    </row>
    <row r="476" spans="1:28" s="28" customFormat="1" x14ac:dyDescent="0.25">
      <c r="A476" s="27" t="s">
        <v>40</v>
      </c>
      <c r="B476" s="32"/>
      <c r="C476" s="32" t="s">
        <v>29</v>
      </c>
      <c r="D476" s="47"/>
      <c r="E476" s="33"/>
      <c r="F476" s="33"/>
      <c r="G476" s="32"/>
      <c r="H476" s="32">
        <f>H474+H475</f>
        <v>31747.977402379918</v>
      </c>
      <c r="I476" s="32"/>
      <c r="J476" s="32">
        <f>J474+J475</f>
        <v>19109.958239592001</v>
      </c>
      <c r="K476" s="32"/>
      <c r="L476" s="32">
        <f>L474+L475</f>
        <v>615.54000704803195</v>
      </c>
      <c r="M476" s="32">
        <f>L476+J476+H476</f>
        <v>51473.475649019951</v>
      </c>
      <c r="O476" s="8"/>
      <c r="R476" s="4"/>
      <c r="AB476" s="4" t="s">
        <v>40</v>
      </c>
    </row>
    <row r="477" spans="1:28" x14ac:dyDescent="0.25">
      <c r="A477" s="49" t="s">
        <v>39</v>
      </c>
      <c r="B477" s="9"/>
      <c r="C477" s="9"/>
      <c r="D477" s="9"/>
      <c r="E477" s="10"/>
      <c r="F477" s="10"/>
      <c r="G477" s="9"/>
      <c r="H477" s="9"/>
      <c r="I477" s="9"/>
      <c r="J477" s="9"/>
      <c r="K477" s="9"/>
      <c r="L477" s="9"/>
      <c r="M477" s="9"/>
      <c r="O477" s="8"/>
      <c r="AB477" s="4" t="s">
        <v>40</v>
      </c>
    </row>
    <row r="478" spans="1:28" x14ac:dyDescent="0.25">
      <c r="A478" s="49" t="s">
        <v>39</v>
      </c>
      <c r="B478" s="9"/>
      <c r="C478" s="39" t="s">
        <v>42</v>
      </c>
      <c r="D478" s="9"/>
      <c r="E478" s="10"/>
      <c r="F478" s="10"/>
      <c r="G478" s="9"/>
      <c r="H478" s="9"/>
      <c r="I478" s="9"/>
      <c r="J478" s="9"/>
      <c r="K478" s="9"/>
      <c r="L478" s="9"/>
      <c r="M478" s="9"/>
      <c r="O478" s="8"/>
      <c r="AB478" s="4" t="s">
        <v>40</v>
      </c>
    </row>
    <row r="479" spans="1:28" x14ac:dyDescent="0.25">
      <c r="A479" s="49" t="s">
        <v>39</v>
      </c>
      <c r="B479" s="151"/>
      <c r="C479" s="134" t="s">
        <v>201</v>
      </c>
      <c r="D479" s="142"/>
      <c r="E479" s="113"/>
      <c r="F479" s="149"/>
      <c r="G479" s="114"/>
      <c r="H479" s="115"/>
      <c r="I479" s="116"/>
      <c r="J479" s="114"/>
      <c r="K479" s="116"/>
      <c r="L479" s="115"/>
      <c r="M479" s="116"/>
      <c r="AB479" s="4" t="s">
        <v>40</v>
      </c>
    </row>
    <row r="480" spans="1:28" s="8" customFormat="1" ht="40.5" x14ac:dyDescent="0.25">
      <c r="A480" s="49" t="s">
        <v>39</v>
      </c>
      <c r="B480" s="1" t="s">
        <v>47</v>
      </c>
      <c r="C480" s="40" t="s">
        <v>223</v>
      </c>
      <c r="D480" s="1" t="s">
        <v>25</v>
      </c>
      <c r="E480" s="3"/>
      <c r="F480" s="3">
        <v>2</v>
      </c>
      <c r="G480" s="2"/>
      <c r="H480" s="6"/>
      <c r="I480" s="2"/>
      <c r="J480" s="6"/>
      <c r="K480" s="2"/>
      <c r="L480" s="6"/>
      <c r="M480" s="6"/>
      <c r="W480" s="4"/>
      <c r="AB480" s="4" t="s">
        <v>40</v>
      </c>
    </row>
    <row r="481" spans="1:28" s="8" customFormat="1" x14ac:dyDescent="0.25">
      <c r="A481" s="5"/>
      <c r="B481" s="5" t="s">
        <v>41</v>
      </c>
      <c r="C481" s="41" t="s">
        <v>30</v>
      </c>
      <c r="D481" s="77" t="str">
        <f>D480</f>
        <v>cali</v>
      </c>
      <c r="E481" s="82">
        <v>1</v>
      </c>
      <c r="F481" s="7">
        <f>E481*F480</f>
        <v>2</v>
      </c>
      <c r="G481" s="6"/>
      <c r="H481" s="6"/>
      <c r="I481" s="6">
        <v>12.5</v>
      </c>
      <c r="J481" s="6">
        <f>I481*F481</f>
        <v>25</v>
      </c>
      <c r="K481" s="6"/>
      <c r="L481" s="6"/>
      <c r="M481" s="6">
        <f t="shared" ref="M481:M490" si="131">L481+J481+H481</f>
        <v>25</v>
      </c>
      <c r="W481" s="4"/>
      <c r="AB481" s="4" t="s">
        <v>40</v>
      </c>
    </row>
    <row r="482" spans="1:28" s="8" customFormat="1" x14ac:dyDescent="0.25">
      <c r="A482" s="5"/>
      <c r="B482" s="5"/>
      <c r="C482" s="41" t="s">
        <v>34</v>
      </c>
      <c r="D482" s="5" t="s">
        <v>1</v>
      </c>
      <c r="E482" s="7">
        <v>0.68700000000000006</v>
      </c>
      <c r="F482" s="7">
        <f>E482*F480</f>
        <v>1.3740000000000001</v>
      </c>
      <c r="G482" s="6"/>
      <c r="H482" s="6"/>
      <c r="I482" s="6"/>
      <c r="J482" s="6"/>
      <c r="K482" s="6">
        <v>3.2</v>
      </c>
      <c r="L482" s="6">
        <f>K482*F482</f>
        <v>4.3968000000000007</v>
      </c>
      <c r="M482" s="6">
        <f t="shared" si="131"/>
        <v>4.3968000000000007</v>
      </c>
      <c r="W482" s="4"/>
      <c r="AB482" s="4" t="s">
        <v>40</v>
      </c>
    </row>
    <row r="483" spans="1:28" s="8" customFormat="1" x14ac:dyDescent="0.25">
      <c r="A483" s="5"/>
      <c r="B483" s="5"/>
      <c r="C483" s="41" t="s">
        <v>44</v>
      </c>
      <c r="D483" s="5" t="s">
        <v>1</v>
      </c>
      <c r="E483" s="7">
        <v>0.67300000000000004</v>
      </c>
      <c r="F483" s="7">
        <f>E483*F480</f>
        <v>1.3460000000000001</v>
      </c>
      <c r="G483" s="6">
        <v>3.2</v>
      </c>
      <c r="H483" s="6">
        <f>G483*F483</f>
        <v>4.3072000000000008</v>
      </c>
      <c r="I483" s="6"/>
      <c r="J483" s="6"/>
      <c r="K483" s="6"/>
      <c r="L483" s="6"/>
      <c r="M483" s="6">
        <f t="shared" si="131"/>
        <v>4.3072000000000008</v>
      </c>
      <c r="W483" s="4"/>
      <c r="AB483" s="4" t="s">
        <v>40</v>
      </c>
    </row>
    <row r="484" spans="1:28" s="8" customFormat="1" x14ac:dyDescent="0.25">
      <c r="A484" s="5"/>
      <c r="B484" s="5"/>
      <c r="C484" s="41" t="s">
        <v>35</v>
      </c>
      <c r="D484" s="5" t="s">
        <v>25</v>
      </c>
      <c r="E484" s="7">
        <v>1</v>
      </c>
      <c r="F484" s="7">
        <f>E484*F480</f>
        <v>2</v>
      </c>
      <c r="G484" s="6">
        <v>45</v>
      </c>
      <c r="H484" s="6">
        <f>G484*F484</f>
        <v>90</v>
      </c>
      <c r="I484" s="6"/>
      <c r="J484" s="6"/>
      <c r="K484" s="6"/>
      <c r="L484" s="6"/>
      <c r="M484" s="6">
        <f t="shared" si="131"/>
        <v>90</v>
      </c>
      <c r="W484" s="4"/>
      <c r="AB484" s="4" t="s">
        <v>40</v>
      </c>
    </row>
    <row r="485" spans="1:28" x14ac:dyDescent="0.25">
      <c r="A485" s="49" t="s">
        <v>39</v>
      </c>
      <c r="B485" s="151"/>
      <c r="C485" s="134" t="s">
        <v>205</v>
      </c>
      <c r="D485" s="142"/>
      <c r="E485" s="113"/>
      <c r="F485" s="149"/>
      <c r="G485" s="114"/>
      <c r="H485" s="115"/>
      <c r="I485" s="116"/>
      <c r="J485" s="114"/>
      <c r="K485" s="116"/>
      <c r="L485" s="115"/>
      <c r="M485" s="116"/>
      <c r="AB485" s="4" t="s">
        <v>40</v>
      </c>
    </row>
    <row r="486" spans="1:28" s="8" customFormat="1" ht="40.5" x14ac:dyDescent="0.25">
      <c r="A486" s="49" t="s">
        <v>39</v>
      </c>
      <c r="B486" s="1" t="s">
        <v>47</v>
      </c>
      <c r="C486" s="40" t="s">
        <v>223</v>
      </c>
      <c r="D486" s="1" t="s">
        <v>25</v>
      </c>
      <c r="E486" s="3"/>
      <c r="F486" s="3">
        <v>1</v>
      </c>
      <c r="G486" s="2"/>
      <c r="H486" s="6"/>
      <c r="I486" s="2"/>
      <c r="J486" s="6"/>
      <c r="K486" s="2"/>
      <c r="L486" s="6"/>
      <c r="M486" s="6"/>
      <c r="W486" s="4"/>
      <c r="AB486" s="4" t="s">
        <v>40</v>
      </c>
    </row>
    <row r="487" spans="1:28" s="8" customFormat="1" x14ac:dyDescent="0.25">
      <c r="A487" s="5"/>
      <c r="B487" s="5" t="s">
        <v>41</v>
      </c>
      <c r="C487" s="41" t="s">
        <v>30</v>
      </c>
      <c r="D487" s="77" t="str">
        <f>D486</f>
        <v>cali</v>
      </c>
      <c r="E487" s="82">
        <v>1</v>
      </c>
      <c r="F487" s="7">
        <f>E487*F486</f>
        <v>1</v>
      </c>
      <c r="G487" s="6"/>
      <c r="H487" s="6"/>
      <c r="I487" s="6">
        <v>12.5</v>
      </c>
      <c r="J487" s="6">
        <f>I487*F487</f>
        <v>12.5</v>
      </c>
      <c r="K487" s="6"/>
      <c r="L487" s="6"/>
      <c r="M487" s="6">
        <f t="shared" si="131"/>
        <v>12.5</v>
      </c>
      <c r="W487" s="4"/>
      <c r="AB487" s="4" t="s">
        <v>40</v>
      </c>
    </row>
    <row r="488" spans="1:28" s="8" customFormat="1" x14ac:dyDescent="0.25">
      <c r="A488" s="5"/>
      <c r="B488" s="5"/>
      <c r="C488" s="41" t="s">
        <v>34</v>
      </c>
      <c r="D488" s="5" t="s">
        <v>1</v>
      </c>
      <c r="E488" s="7">
        <v>0.68700000000000006</v>
      </c>
      <c r="F488" s="7">
        <f>E488*F486</f>
        <v>0.68700000000000006</v>
      </c>
      <c r="G488" s="6"/>
      <c r="H488" s="6"/>
      <c r="I488" s="6"/>
      <c r="J488" s="6"/>
      <c r="K488" s="6">
        <v>3.2</v>
      </c>
      <c r="L488" s="6">
        <f>K488*F488</f>
        <v>2.1984000000000004</v>
      </c>
      <c r="M488" s="6">
        <f t="shared" si="131"/>
        <v>2.1984000000000004</v>
      </c>
      <c r="W488" s="4"/>
      <c r="AB488" s="4" t="s">
        <v>40</v>
      </c>
    </row>
    <row r="489" spans="1:28" s="8" customFormat="1" x14ac:dyDescent="0.25">
      <c r="A489" s="5"/>
      <c r="B489" s="5"/>
      <c r="C489" s="41" t="s">
        <v>44</v>
      </c>
      <c r="D489" s="5" t="s">
        <v>1</v>
      </c>
      <c r="E489" s="7">
        <v>0.67300000000000004</v>
      </c>
      <c r="F489" s="7">
        <f>E489*F486</f>
        <v>0.67300000000000004</v>
      </c>
      <c r="G489" s="6">
        <v>3.2</v>
      </c>
      <c r="H489" s="6">
        <f>G489*F489</f>
        <v>2.1536000000000004</v>
      </c>
      <c r="I489" s="6"/>
      <c r="J489" s="6"/>
      <c r="K489" s="6"/>
      <c r="L489" s="6"/>
      <c r="M489" s="6">
        <f t="shared" si="131"/>
        <v>2.1536000000000004</v>
      </c>
      <c r="W489" s="4"/>
      <c r="AB489" s="4" t="s">
        <v>40</v>
      </c>
    </row>
    <row r="490" spans="1:28" s="8" customFormat="1" x14ac:dyDescent="0.25">
      <c r="A490" s="5"/>
      <c r="B490" s="5"/>
      <c r="C490" s="41" t="s">
        <v>35</v>
      </c>
      <c r="D490" s="5" t="s">
        <v>25</v>
      </c>
      <c r="E490" s="7">
        <v>1</v>
      </c>
      <c r="F490" s="7">
        <f>E490*F486</f>
        <v>1</v>
      </c>
      <c r="G490" s="6">
        <v>45</v>
      </c>
      <c r="H490" s="6">
        <f>G490*F490</f>
        <v>45</v>
      </c>
      <c r="I490" s="6"/>
      <c r="J490" s="6"/>
      <c r="K490" s="6"/>
      <c r="L490" s="6"/>
      <c r="M490" s="6">
        <f t="shared" si="131"/>
        <v>45</v>
      </c>
      <c r="W490" s="4"/>
      <c r="AB490" s="4" t="s">
        <v>40</v>
      </c>
    </row>
    <row r="491" spans="1:28" s="8" customFormat="1" ht="40.5" x14ac:dyDescent="0.25">
      <c r="A491" s="49" t="s">
        <v>39</v>
      </c>
      <c r="B491" s="1" t="s">
        <v>45</v>
      </c>
      <c r="C491" s="40" t="s">
        <v>51</v>
      </c>
      <c r="D491" s="1" t="s">
        <v>46</v>
      </c>
      <c r="E491" s="3"/>
      <c r="F491" s="3">
        <v>75</v>
      </c>
      <c r="G491" s="2"/>
      <c r="H491" s="6"/>
      <c r="I491" s="2"/>
      <c r="J491" s="6"/>
      <c r="K491" s="2"/>
      <c r="L491" s="6"/>
      <c r="M491" s="6"/>
      <c r="W491" s="4"/>
      <c r="AB491" s="4" t="s">
        <v>40</v>
      </c>
    </row>
    <row r="492" spans="1:28" s="8" customFormat="1" x14ac:dyDescent="0.25">
      <c r="A492" s="5"/>
      <c r="B492" s="5" t="s">
        <v>41</v>
      </c>
      <c r="C492" s="41" t="s">
        <v>30</v>
      </c>
      <c r="D492" s="77" t="str">
        <f>D491</f>
        <v>metri</v>
      </c>
      <c r="E492" s="7">
        <v>1</v>
      </c>
      <c r="F492" s="7">
        <f>E492*F491</f>
        <v>75</v>
      </c>
      <c r="G492" s="6"/>
      <c r="H492" s="6"/>
      <c r="I492" s="6">
        <v>1</v>
      </c>
      <c r="J492" s="6">
        <f>I492*F492</f>
        <v>75</v>
      </c>
      <c r="K492" s="6"/>
      <c r="L492" s="6"/>
      <c r="M492" s="6">
        <f>L492+J492+H492</f>
        <v>75</v>
      </c>
      <c r="W492" s="4"/>
      <c r="AB492" s="4" t="s">
        <v>40</v>
      </c>
    </row>
    <row r="493" spans="1:28" s="8" customFormat="1" x14ac:dyDescent="0.25">
      <c r="A493" s="5"/>
      <c r="B493" s="5"/>
      <c r="C493" s="41" t="s">
        <v>34</v>
      </c>
      <c r="D493" s="5" t="s">
        <v>1</v>
      </c>
      <c r="E493" s="7">
        <v>3.7100000000000001E-2</v>
      </c>
      <c r="F493" s="7">
        <f>E493*F491</f>
        <v>2.7825000000000002</v>
      </c>
      <c r="G493" s="6"/>
      <c r="H493" s="6"/>
      <c r="I493" s="6"/>
      <c r="J493" s="6"/>
      <c r="K493" s="6">
        <v>3.2</v>
      </c>
      <c r="L493" s="6">
        <f>K493*F493</f>
        <v>8.9040000000000017</v>
      </c>
      <c r="M493" s="6">
        <f>L493+J493+H493</f>
        <v>8.9040000000000017</v>
      </c>
      <c r="W493" s="4"/>
      <c r="AB493" s="4" t="s">
        <v>40</v>
      </c>
    </row>
    <row r="494" spans="1:28" s="8" customFormat="1" x14ac:dyDescent="0.25">
      <c r="A494" s="5"/>
      <c r="B494" s="5"/>
      <c r="C494" s="41" t="s">
        <v>52</v>
      </c>
      <c r="D494" s="5" t="s">
        <v>28</v>
      </c>
      <c r="E494" s="7">
        <v>1</v>
      </c>
      <c r="F494" s="7">
        <f>E494*F491</f>
        <v>75</v>
      </c>
      <c r="G494" s="6">
        <v>1.8</v>
      </c>
      <c r="H494" s="6">
        <f>G494*F494</f>
        <v>135</v>
      </c>
      <c r="I494" s="6"/>
      <c r="J494" s="6"/>
      <c r="K494" s="6"/>
      <c r="L494" s="6"/>
      <c r="M494" s="6">
        <f>L494+J494+H494</f>
        <v>135</v>
      </c>
      <c r="W494" s="4"/>
      <c r="AB494" s="4" t="s">
        <v>40</v>
      </c>
    </row>
    <row r="495" spans="1:28" s="8" customFormat="1" x14ac:dyDescent="0.25">
      <c r="A495" s="5"/>
      <c r="B495" s="5"/>
      <c r="C495" s="41" t="s">
        <v>43</v>
      </c>
      <c r="D495" s="5" t="s">
        <v>1</v>
      </c>
      <c r="E495" s="7">
        <v>1.44E-2</v>
      </c>
      <c r="F495" s="7">
        <f>E495*F491</f>
        <v>1.08</v>
      </c>
      <c r="G495" s="6">
        <v>3.2</v>
      </c>
      <c r="H495" s="6">
        <f>G495*F495</f>
        <v>3.4560000000000004</v>
      </c>
      <c r="I495" s="6"/>
      <c r="J495" s="6"/>
      <c r="K495" s="6"/>
      <c r="L495" s="6"/>
      <c r="M495" s="6">
        <f>L495+J495+H495</f>
        <v>3.4560000000000004</v>
      </c>
      <c r="W495" s="4"/>
      <c r="AB495" s="4" t="s">
        <v>40</v>
      </c>
    </row>
    <row r="496" spans="1:28" s="65" customFormat="1" ht="27" x14ac:dyDescent="0.25">
      <c r="A496" s="49" t="s">
        <v>39</v>
      </c>
      <c r="B496" s="24" t="s">
        <v>139</v>
      </c>
      <c r="C496" s="24" t="s">
        <v>140</v>
      </c>
      <c r="D496" s="24" t="s">
        <v>25</v>
      </c>
      <c r="E496" s="25"/>
      <c r="F496" s="25">
        <v>6</v>
      </c>
      <c r="G496" s="24"/>
      <c r="H496" s="24"/>
      <c r="I496" s="24"/>
      <c r="J496" s="24"/>
      <c r="K496" s="24"/>
      <c r="L496" s="24"/>
      <c r="M496" s="24"/>
      <c r="O496" s="8"/>
      <c r="W496" s="4"/>
      <c r="AB496" s="4" t="s">
        <v>40</v>
      </c>
    </row>
    <row r="497" spans="1:28" s="65" customFormat="1" x14ac:dyDescent="0.25">
      <c r="A497" s="109"/>
      <c r="B497" s="26" t="s">
        <v>41</v>
      </c>
      <c r="C497" s="26" t="s">
        <v>30</v>
      </c>
      <c r="D497" s="77" t="str">
        <f>D496</f>
        <v>cali</v>
      </c>
      <c r="E497" s="110">
        <v>1</v>
      </c>
      <c r="F497" s="110">
        <f>F496*E497</f>
        <v>6</v>
      </c>
      <c r="G497" s="26"/>
      <c r="H497" s="26"/>
      <c r="I497" s="26">
        <v>5</v>
      </c>
      <c r="J497" s="26">
        <f>F497*I497</f>
        <v>30</v>
      </c>
      <c r="K497" s="26"/>
      <c r="L497" s="26"/>
      <c r="M497" s="26">
        <f>H497+J497+L497</f>
        <v>30</v>
      </c>
      <c r="O497" s="8"/>
      <c r="W497" s="4"/>
      <c r="AB497" s="4" t="s">
        <v>40</v>
      </c>
    </row>
    <row r="498" spans="1:28" s="65" customFormat="1" x14ac:dyDescent="0.25">
      <c r="A498" s="109"/>
      <c r="B498" s="26"/>
      <c r="C498" s="26" t="s">
        <v>141</v>
      </c>
      <c r="D498" s="26" t="s">
        <v>1</v>
      </c>
      <c r="E498" s="110">
        <v>1.2999999999999999E-2</v>
      </c>
      <c r="F498" s="110">
        <f>F496*E498</f>
        <v>7.8E-2</v>
      </c>
      <c r="G498" s="26"/>
      <c r="H498" s="26"/>
      <c r="I498" s="26"/>
      <c r="J498" s="26"/>
      <c r="K498" s="26">
        <v>3.2</v>
      </c>
      <c r="L498" s="26">
        <f>F498*K498</f>
        <v>0.24960000000000002</v>
      </c>
      <c r="M498" s="26">
        <f>H498+J498+L498</f>
        <v>0.24960000000000002</v>
      </c>
      <c r="O498" s="8"/>
      <c r="W498" s="4"/>
      <c r="AB498" s="4" t="s">
        <v>40</v>
      </c>
    </row>
    <row r="499" spans="1:28" s="65" customFormat="1" ht="27" x14ac:dyDescent="0.25">
      <c r="A499" s="109"/>
      <c r="B499" s="26"/>
      <c r="C499" s="26" t="s">
        <v>142</v>
      </c>
      <c r="D499" s="26" t="s">
        <v>25</v>
      </c>
      <c r="E499" s="110">
        <v>1</v>
      </c>
      <c r="F499" s="110">
        <f>F496*E499</f>
        <v>6</v>
      </c>
      <c r="G499" s="26">
        <v>5.8</v>
      </c>
      <c r="H499" s="26">
        <f>F499*G499</f>
        <v>34.799999999999997</v>
      </c>
      <c r="I499" s="26"/>
      <c r="J499" s="26"/>
      <c r="K499" s="26"/>
      <c r="L499" s="26"/>
      <c r="M499" s="26">
        <f>H499+J499+L499</f>
        <v>34.799999999999997</v>
      </c>
      <c r="O499" s="8"/>
      <c r="W499" s="4"/>
      <c r="AB499" s="4" t="s">
        <v>40</v>
      </c>
    </row>
    <row r="500" spans="1:28" s="65" customFormat="1" x14ac:dyDescent="0.25">
      <c r="A500" s="109"/>
      <c r="B500" s="26"/>
      <c r="C500" s="26" t="s">
        <v>74</v>
      </c>
      <c r="D500" s="26" t="s">
        <v>1</v>
      </c>
      <c r="E500" s="110">
        <v>9.4E-2</v>
      </c>
      <c r="F500" s="110">
        <f>F496*E500</f>
        <v>0.56400000000000006</v>
      </c>
      <c r="G500" s="26">
        <v>3.2</v>
      </c>
      <c r="H500" s="26">
        <f>F500*G500</f>
        <v>1.8048000000000002</v>
      </c>
      <c r="I500" s="26"/>
      <c r="J500" s="26"/>
      <c r="K500" s="26"/>
      <c r="L500" s="26"/>
      <c r="M500" s="26">
        <f>H500+J500+L500</f>
        <v>1.8048000000000002</v>
      </c>
      <c r="O500" s="8"/>
      <c r="W500" s="4"/>
      <c r="AB500" s="4" t="s">
        <v>40</v>
      </c>
    </row>
    <row r="501" spans="1:28" s="65" customFormat="1" ht="40.5" x14ac:dyDescent="0.25">
      <c r="A501" s="49" t="s">
        <v>39</v>
      </c>
      <c r="B501" s="24" t="s">
        <v>139</v>
      </c>
      <c r="C501" s="24" t="s">
        <v>143</v>
      </c>
      <c r="D501" s="24" t="s">
        <v>25</v>
      </c>
      <c r="E501" s="25"/>
      <c r="F501" s="25">
        <v>1</v>
      </c>
      <c r="G501" s="24"/>
      <c r="H501" s="24"/>
      <c r="I501" s="24"/>
      <c r="J501" s="24"/>
      <c r="K501" s="24"/>
      <c r="L501" s="24"/>
      <c r="M501" s="24"/>
      <c r="O501" s="8"/>
      <c r="W501" s="4"/>
      <c r="AB501" s="4" t="s">
        <v>40</v>
      </c>
    </row>
    <row r="502" spans="1:28" s="65" customFormat="1" x14ac:dyDescent="0.25">
      <c r="A502" s="109"/>
      <c r="B502" s="26" t="s">
        <v>41</v>
      </c>
      <c r="C502" s="26" t="s">
        <v>30</v>
      </c>
      <c r="D502" s="77" t="str">
        <f>D501</f>
        <v>cali</v>
      </c>
      <c r="E502" s="110">
        <v>1</v>
      </c>
      <c r="F502" s="110">
        <f>F501*E502</f>
        <v>1</v>
      </c>
      <c r="G502" s="26"/>
      <c r="H502" s="26"/>
      <c r="I502" s="26">
        <v>5</v>
      </c>
      <c r="J502" s="26">
        <f>F502*I502</f>
        <v>5</v>
      </c>
      <c r="K502" s="26"/>
      <c r="L502" s="26"/>
      <c r="M502" s="26">
        <f>H502+J502+L502</f>
        <v>5</v>
      </c>
      <c r="O502" s="8"/>
      <c r="W502" s="4"/>
      <c r="AB502" s="4" t="s">
        <v>40</v>
      </c>
    </row>
    <row r="503" spans="1:28" s="65" customFormat="1" x14ac:dyDescent="0.25">
      <c r="A503" s="109"/>
      <c r="B503" s="26"/>
      <c r="C503" s="26" t="s">
        <v>141</v>
      </c>
      <c r="D503" s="26" t="s">
        <v>1</v>
      </c>
      <c r="E503" s="110">
        <v>1.2999999999999999E-2</v>
      </c>
      <c r="F503" s="110">
        <f>F501*E503</f>
        <v>1.2999999999999999E-2</v>
      </c>
      <c r="G503" s="26"/>
      <c r="H503" s="26"/>
      <c r="I503" s="26"/>
      <c r="J503" s="26"/>
      <c r="K503" s="26">
        <v>3.2</v>
      </c>
      <c r="L503" s="26">
        <f>F503*K503</f>
        <v>4.1599999999999998E-2</v>
      </c>
      <c r="M503" s="26">
        <f>H503+J503+L503</f>
        <v>4.1599999999999998E-2</v>
      </c>
      <c r="O503" s="8"/>
      <c r="W503" s="4"/>
      <c r="AB503" s="4" t="s">
        <v>40</v>
      </c>
    </row>
    <row r="504" spans="1:28" s="65" customFormat="1" ht="27" x14ac:dyDescent="0.25">
      <c r="A504" s="109"/>
      <c r="B504" s="26"/>
      <c r="C504" s="26" t="s">
        <v>142</v>
      </c>
      <c r="D504" s="26" t="s">
        <v>25</v>
      </c>
      <c r="E504" s="110">
        <v>1</v>
      </c>
      <c r="F504" s="110">
        <f>F501*E504</f>
        <v>1</v>
      </c>
      <c r="G504" s="26">
        <v>5.8</v>
      </c>
      <c r="H504" s="26">
        <f>F504*G504</f>
        <v>5.8</v>
      </c>
      <c r="I504" s="26"/>
      <c r="J504" s="26"/>
      <c r="K504" s="26"/>
      <c r="L504" s="26"/>
      <c r="M504" s="26">
        <f>H504+J504+L504</f>
        <v>5.8</v>
      </c>
      <c r="O504" s="8"/>
      <c r="W504" s="4"/>
      <c r="AB504" s="4" t="s">
        <v>40</v>
      </c>
    </row>
    <row r="505" spans="1:28" s="65" customFormat="1" x14ac:dyDescent="0.25">
      <c r="A505" s="109"/>
      <c r="B505" s="26"/>
      <c r="C505" s="26" t="s">
        <v>74</v>
      </c>
      <c r="D505" s="26" t="s">
        <v>1</v>
      </c>
      <c r="E505" s="110">
        <v>9.4E-2</v>
      </c>
      <c r="F505" s="110">
        <f>F501*E505</f>
        <v>9.4E-2</v>
      </c>
      <c r="G505" s="26">
        <v>3.2</v>
      </c>
      <c r="H505" s="26">
        <f>F505*G505</f>
        <v>0.30080000000000001</v>
      </c>
      <c r="I505" s="26"/>
      <c r="J505" s="26"/>
      <c r="K505" s="26"/>
      <c r="L505" s="26"/>
      <c r="M505" s="26">
        <f>H505+J505+L505</f>
        <v>0.30080000000000001</v>
      </c>
      <c r="O505" s="8"/>
      <c r="W505" s="4"/>
      <c r="AB505" s="4" t="s">
        <v>40</v>
      </c>
    </row>
    <row r="506" spans="1:28" s="65" customFormat="1" x14ac:dyDescent="0.25">
      <c r="A506" s="49" t="s">
        <v>39</v>
      </c>
      <c r="B506" s="24" t="s">
        <v>144</v>
      </c>
      <c r="C506" s="24" t="s">
        <v>145</v>
      </c>
      <c r="D506" s="24" t="s">
        <v>25</v>
      </c>
      <c r="E506" s="25"/>
      <c r="F506" s="25">
        <v>2</v>
      </c>
      <c r="G506" s="24"/>
      <c r="H506" s="24"/>
      <c r="I506" s="24"/>
      <c r="J506" s="24"/>
      <c r="K506" s="24"/>
      <c r="L506" s="24"/>
      <c r="M506" s="24"/>
      <c r="O506" s="8"/>
      <c r="W506" s="4"/>
      <c r="AB506" s="4" t="s">
        <v>40</v>
      </c>
    </row>
    <row r="507" spans="1:28" s="65" customFormat="1" x14ac:dyDescent="0.25">
      <c r="A507" s="109"/>
      <c r="B507" s="26" t="s">
        <v>41</v>
      </c>
      <c r="C507" s="26" t="s">
        <v>30</v>
      </c>
      <c r="D507" s="77" t="str">
        <f>D506</f>
        <v>cali</v>
      </c>
      <c r="E507" s="110">
        <v>1</v>
      </c>
      <c r="F507" s="110">
        <f>F506*E507</f>
        <v>2</v>
      </c>
      <c r="G507" s="26"/>
      <c r="H507" s="26"/>
      <c r="I507" s="26">
        <v>5</v>
      </c>
      <c r="J507" s="26">
        <f>F507*I507</f>
        <v>10</v>
      </c>
      <c r="K507" s="26"/>
      <c r="L507" s="26"/>
      <c r="M507" s="26">
        <f>H507+J507+L507</f>
        <v>10</v>
      </c>
      <c r="O507" s="8"/>
      <c r="W507" s="4"/>
      <c r="AB507" s="4" t="s">
        <v>40</v>
      </c>
    </row>
    <row r="508" spans="1:28" s="65" customFormat="1" x14ac:dyDescent="0.25">
      <c r="A508" s="109"/>
      <c r="B508" s="26"/>
      <c r="C508" s="26" t="s">
        <v>141</v>
      </c>
      <c r="D508" s="26" t="s">
        <v>1</v>
      </c>
      <c r="E508" s="110">
        <v>1.0999999999999999E-2</v>
      </c>
      <c r="F508" s="110">
        <f>F506*E508</f>
        <v>2.1999999999999999E-2</v>
      </c>
      <c r="G508" s="26"/>
      <c r="H508" s="26"/>
      <c r="I508" s="26"/>
      <c r="J508" s="26"/>
      <c r="K508" s="26">
        <v>3.2</v>
      </c>
      <c r="L508" s="26">
        <f>F508*K508</f>
        <v>7.0400000000000004E-2</v>
      </c>
      <c r="M508" s="26">
        <f>H508+J508+L508</f>
        <v>7.0400000000000004E-2</v>
      </c>
      <c r="O508" s="8"/>
      <c r="W508" s="4"/>
      <c r="AB508" s="4" t="s">
        <v>40</v>
      </c>
    </row>
    <row r="509" spans="1:28" s="65" customFormat="1" x14ac:dyDescent="0.25">
      <c r="A509" s="109"/>
      <c r="B509" s="26"/>
      <c r="C509" s="26" t="s">
        <v>146</v>
      </c>
      <c r="D509" s="26" t="s">
        <v>25</v>
      </c>
      <c r="E509" s="110">
        <v>1</v>
      </c>
      <c r="F509" s="110">
        <f>F506*E509</f>
        <v>2</v>
      </c>
      <c r="G509" s="26">
        <v>7.5</v>
      </c>
      <c r="H509" s="26">
        <f>F509*G509</f>
        <v>15</v>
      </c>
      <c r="I509" s="26"/>
      <c r="J509" s="26"/>
      <c r="K509" s="26"/>
      <c r="L509" s="26"/>
      <c r="M509" s="26">
        <f>H509+J509+L509</f>
        <v>15</v>
      </c>
      <c r="O509" s="8"/>
      <c r="W509" s="4"/>
      <c r="AB509" s="4" t="s">
        <v>40</v>
      </c>
    </row>
    <row r="510" spans="1:28" s="65" customFormat="1" x14ac:dyDescent="0.25">
      <c r="A510" s="109"/>
      <c r="B510" s="26"/>
      <c r="C510" s="26" t="s">
        <v>74</v>
      </c>
      <c r="D510" s="26" t="s">
        <v>1</v>
      </c>
      <c r="E510" s="110">
        <v>0.10299999999999999</v>
      </c>
      <c r="F510" s="110">
        <f>F506*E510</f>
        <v>0.20599999999999999</v>
      </c>
      <c r="G510" s="26">
        <v>3.2</v>
      </c>
      <c r="H510" s="26">
        <f>F510*G510</f>
        <v>0.65920000000000001</v>
      </c>
      <c r="I510" s="26"/>
      <c r="J510" s="26"/>
      <c r="K510" s="26"/>
      <c r="L510" s="26"/>
      <c r="M510" s="26">
        <f>H510+J510+L510</f>
        <v>0.65920000000000001</v>
      </c>
      <c r="O510" s="8"/>
      <c r="W510" s="4"/>
      <c r="AB510" s="4" t="s">
        <v>40</v>
      </c>
    </row>
    <row r="511" spans="1:28" x14ac:dyDescent="0.25">
      <c r="A511" s="49" t="s">
        <v>39</v>
      </c>
      <c r="B511" s="151"/>
      <c r="C511" s="134" t="s">
        <v>208</v>
      </c>
      <c r="D511" s="142"/>
      <c r="E511" s="113"/>
      <c r="F511" s="149"/>
      <c r="G511" s="114"/>
      <c r="H511" s="115"/>
      <c r="I511" s="116"/>
      <c r="J511" s="114"/>
      <c r="K511" s="116"/>
      <c r="L511" s="115"/>
      <c r="M511" s="116"/>
      <c r="AB511" s="4" t="s">
        <v>40</v>
      </c>
    </row>
    <row r="512" spans="1:28" s="8" customFormat="1" ht="40.5" x14ac:dyDescent="0.25">
      <c r="A512" s="49" t="s">
        <v>39</v>
      </c>
      <c r="B512" s="1" t="s">
        <v>47</v>
      </c>
      <c r="C512" s="40" t="s">
        <v>224</v>
      </c>
      <c r="D512" s="1" t="s">
        <v>25</v>
      </c>
      <c r="E512" s="3"/>
      <c r="F512" s="3">
        <v>6</v>
      </c>
      <c r="G512" s="2"/>
      <c r="H512" s="6"/>
      <c r="I512" s="2"/>
      <c r="J512" s="6"/>
      <c r="K512" s="2"/>
      <c r="L512" s="6"/>
      <c r="M512" s="6"/>
      <c r="W512" s="4"/>
      <c r="AB512" s="4" t="s">
        <v>40</v>
      </c>
    </row>
    <row r="513" spans="1:28" s="8" customFormat="1" x14ac:dyDescent="0.25">
      <c r="A513" s="5"/>
      <c r="B513" s="5" t="s">
        <v>41</v>
      </c>
      <c r="C513" s="41" t="s">
        <v>30</v>
      </c>
      <c r="D513" s="77" t="str">
        <f>D512</f>
        <v>cali</v>
      </c>
      <c r="E513" s="82">
        <v>1.66</v>
      </c>
      <c r="F513" s="7">
        <f>E513*F512</f>
        <v>9.9599999999999991</v>
      </c>
      <c r="G513" s="6"/>
      <c r="H513" s="6"/>
      <c r="I513" s="6">
        <v>12.5</v>
      </c>
      <c r="J513" s="6">
        <f>I513*F513</f>
        <v>124.49999999999999</v>
      </c>
      <c r="K513" s="6"/>
      <c r="L513" s="6"/>
      <c r="M513" s="6">
        <f>L513+J513+H513</f>
        <v>124.49999999999999</v>
      </c>
      <c r="W513" s="4"/>
      <c r="AB513" s="4" t="s">
        <v>40</v>
      </c>
    </row>
    <row r="514" spans="1:28" s="8" customFormat="1" x14ac:dyDescent="0.25">
      <c r="A514" s="5"/>
      <c r="B514" s="5"/>
      <c r="C514" s="41" t="s">
        <v>34</v>
      </c>
      <c r="D514" s="5" t="s">
        <v>1</v>
      </c>
      <c r="E514" s="7">
        <v>0.68700000000000006</v>
      </c>
      <c r="F514" s="7">
        <f>E514*F512</f>
        <v>4.1219999999999999</v>
      </c>
      <c r="G514" s="6"/>
      <c r="H514" s="6"/>
      <c r="I514" s="6"/>
      <c r="J514" s="6"/>
      <c r="K514" s="6">
        <v>3.2</v>
      </c>
      <c r="L514" s="6">
        <f>K514*F514</f>
        <v>13.1904</v>
      </c>
      <c r="M514" s="6">
        <f>L514+J514+H514</f>
        <v>13.1904</v>
      </c>
      <c r="W514" s="4"/>
      <c r="AB514" s="4" t="s">
        <v>40</v>
      </c>
    </row>
    <row r="515" spans="1:28" s="8" customFormat="1" x14ac:dyDescent="0.25">
      <c r="A515" s="5"/>
      <c r="B515" s="5"/>
      <c r="C515" s="41" t="s">
        <v>44</v>
      </c>
      <c r="D515" s="5" t="s">
        <v>1</v>
      </c>
      <c r="E515" s="7">
        <v>0.67300000000000004</v>
      </c>
      <c r="F515" s="7">
        <f>E515*F512</f>
        <v>4.0380000000000003</v>
      </c>
      <c r="G515" s="6">
        <v>3.2</v>
      </c>
      <c r="H515" s="6">
        <f>G515*F515</f>
        <v>12.921600000000002</v>
      </c>
      <c r="I515" s="6"/>
      <c r="J515" s="6"/>
      <c r="K515" s="6"/>
      <c r="L515" s="6"/>
      <c r="M515" s="6">
        <f>L515+J515+H515</f>
        <v>12.921600000000002</v>
      </c>
      <c r="W515" s="4"/>
      <c r="AB515" s="4" t="s">
        <v>40</v>
      </c>
    </row>
    <row r="516" spans="1:28" s="8" customFormat="1" x14ac:dyDescent="0.25">
      <c r="A516" s="5"/>
      <c r="B516" s="5"/>
      <c r="C516" s="41" t="s">
        <v>35</v>
      </c>
      <c r="D516" s="5" t="s">
        <v>25</v>
      </c>
      <c r="E516" s="7">
        <v>1</v>
      </c>
      <c r="F516" s="7">
        <f>E516*F512</f>
        <v>6</v>
      </c>
      <c r="G516" s="6">
        <v>45</v>
      </c>
      <c r="H516" s="6">
        <f>G516*F516</f>
        <v>270</v>
      </c>
      <c r="I516" s="6"/>
      <c r="J516" s="6"/>
      <c r="K516" s="6"/>
      <c r="L516" s="6"/>
      <c r="M516" s="6">
        <f>L516+J516+H516</f>
        <v>270</v>
      </c>
      <c r="W516" s="4"/>
      <c r="AB516" s="4" t="s">
        <v>40</v>
      </c>
    </row>
    <row r="517" spans="1:28" s="117" customFormat="1" ht="27" x14ac:dyDescent="0.25">
      <c r="A517" s="49" t="s">
        <v>39</v>
      </c>
      <c r="B517" s="48" t="s">
        <v>147</v>
      </c>
      <c r="C517" s="48" t="s">
        <v>151</v>
      </c>
      <c r="D517" s="48" t="s">
        <v>148</v>
      </c>
      <c r="E517" s="67"/>
      <c r="F517" s="67">
        <v>1</v>
      </c>
      <c r="G517" s="48"/>
      <c r="H517" s="48"/>
      <c r="I517" s="48"/>
      <c r="J517" s="48"/>
      <c r="K517" s="48"/>
      <c r="L517" s="48"/>
      <c r="M517" s="48"/>
      <c r="O517" s="8"/>
      <c r="W517" s="4"/>
      <c r="AB517" s="4" t="s">
        <v>40</v>
      </c>
    </row>
    <row r="518" spans="1:28" s="101" customFormat="1" x14ac:dyDescent="0.25">
      <c r="A518" s="87"/>
      <c r="B518" s="57" t="s">
        <v>41</v>
      </c>
      <c r="C518" s="57" t="s">
        <v>30</v>
      </c>
      <c r="D518" s="77" t="str">
        <f>D517</f>
        <v>komp.</v>
      </c>
      <c r="E518" s="58">
        <v>1</v>
      </c>
      <c r="F518" s="58">
        <f>F517*E518</f>
        <v>1</v>
      </c>
      <c r="G518" s="57"/>
      <c r="H518" s="57"/>
      <c r="I518" s="57">
        <v>125</v>
      </c>
      <c r="J518" s="57">
        <f>F518*I518</f>
        <v>125</v>
      </c>
      <c r="K518" s="57"/>
      <c r="L518" s="57"/>
      <c r="M518" s="57">
        <f>H518+J518+L518</f>
        <v>125</v>
      </c>
      <c r="O518" s="8"/>
      <c r="W518" s="4"/>
      <c r="AB518" s="4" t="s">
        <v>40</v>
      </c>
    </row>
    <row r="519" spans="1:28" s="101" customFormat="1" x14ac:dyDescent="0.25">
      <c r="A519" s="87"/>
      <c r="B519" s="57"/>
      <c r="C519" s="57" t="s">
        <v>149</v>
      </c>
      <c r="D519" s="57" t="s">
        <v>120</v>
      </c>
      <c r="E519" s="58">
        <v>1</v>
      </c>
      <c r="F519" s="58">
        <f>F517*E519</f>
        <v>1</v>
      </c>
      <c r="G519" s="57">
        <v>825</v>
      </c>
      <c r="H519" s="57">
        <f>F519*G519</f>
        <v>825</v>
      </c>
      <c r="I519" s="57"/>
      <c r="J519" s="57"/>
      <c r="K519" s="57"/>
      <c r="L519" s="57"/>
      <c r="M519" s="57">
        <f>H519+J519+L519</f>
        <v>825</v>
      </c>
      <c r="O519" s="8"/>
      <c r="W519" s="4"/>
      <c r="AB519" s="4" t="s">
        <v>40</v>
      </c>
    </row>
    <row r="520" spans="1:28" ht="27" x14ac:dyDescent="0.25">
      <c r="A520" s="87"/>
      <c r="B520" s="57"/>
      <c r="C520" s="57" t="s">
        <v>150</v>
      </c>
      <c r="D520" s="57" t="s">
        <v>1</v>
      </c>
      <c r="E520" s="58">
        <v>1</v>
      </c>
      <c r="F520" s="58">
        <f>F517*E520</f>
        <v>1</v>
      </c>
      <c r="G520" s="57">
        <v>25</v>
      </c>
      <c r="H520" s="57">
        <f>F520*G520</f>
        <v>25</v>
      </c>
      <c r="I520" s="57"/>
      <c r="J520" s="57"/>
      <c r="K520" s="57"/>
      <c r="L520" s="57"/>
      <c r="M520" s="57">
        <f>H520+J520+L520</f>
        <v>25</v>
      </c>
      <c r="O520" s="8"/>
      <c r="AB520" s="4" t="s">
        <v>40</v>
      </c>
    </row>
    <row r="521" spans="1:28" ht="27" x14ac:dyDescent="0.25">
      <c r="A521" s="49" t="s">
        <v>39</v>
      </c>
      <c r="B521" s="151"/>
      <c r="C521" s="134" t="s">
        <v>212</v>
      </c>
      <c r="D521" s="142"/>
      <c r="E521" s="113"/>
      <c r="F521" s="149"/>
      <c r="G521" s="114"/>
      <c r="H521" s="115"/>
      <c r="I521" s="116"/>
      <c r="J521" s="114"/>
      <c r="K521" s="116"/>
      <c r="L521" s="115"/>
      <c r="M521" s="116"/>
      <c r="AB521" s="4" t="s">
        <v>40</v>
      </c>
    </row>
    <row r="522" spans="1:28" s="8" customFormat="1" ht="40.5" x14ac:dyDescent="0.25">
      <c r="A522" s="49" t="s">
        <v>39</v>
      </c>
      <c r="B522" s="1" t="s">
        <v>45</v>
      </c>
      <c r="C522" s="40" t="s">
        <v>226</v>
      </c>
      <c r="D522" s="1" t="s">
        <v>46</v>
      </c>
      <c r="E522" s="3"/>
      <c r="F522" s="3">
        <v>225</v>
      </c>
      <c r="G522" s="2"/>
      <c r="H522" s="6"/>
      <c r="I522" s="2"/>
      <c r="J522" s="6"/>
      <c r="K522" s="2"/>
      <c r="L522" s="6"/>
      <c r="M522" s="6"/>
      <c r="W522" s="4"/>
      <c r="AB522" s="4" t="s">
        <v>40</v>
      </c>
    </row>
    <row r="523" spans="1:28" s="8" customFormat="1" x14ac:dyDescent="0.25">
      <c r="A523" s="5"/>
      <c r="B523" s="5" t="s">
        <v>41</v>
      </c>
      <c r="C523" s="41" t="s">
        <v>30</v>
      </c>
      <c r="D523" s="77" t="str">
        <f>D522</f>
        <v>metri</v>
      </c>
      <c r="E523" s="7">
        <v>1</v>
      </c>
      <c r="F523" s="7">
        <f>E523*F522</f>
        <v>225</v>
      </c>
      <c r="G523" s="6"/>
      <c r="H523" s="6"/>
      <c r="I523" s="6">
        <v>1</v>
      </c>
      <c r="J523" s="6">
        <f>I523*F523</f>
        <v>225</v>
      </c>
      <c r="K523" s="6"/>
      <c r="L523" s="6"/>
      <c r="M523" s="6">
        <f>L523+J523+H523</f>
        <v>225</v>
      </c>
      <c r="W523" s="4"/>
      <c r="AB523" s="4" t="s">
        <v>40</v>
      </c>
    </row>
    <row r="524" spans="1:28" s="8" customFormat="1" x14ac:dyDescent="0.25">
      <c r="A524" s="5"/>
      <c r="B524" s="5"/>
      <c r="C524" s="41" t="s">
        <v>34</v>
      </c>
      <c r="D524" s="5" t="s">
        <v>1</v>
      </c>
      <c r="E524" s="7">
        <v>3.7100000000000001E-2</v>
      </c>
      <c r="F524" s="7">
        <f>E524*F522</f>
        <v>8.3475000000000001</v>
      </c>
      <c r="G524" s="6"/>
      <c r="H524" s="6"/>
      <c r="I524" s="6"/>
      <c r="J524" s="6"/>
      <c r="K524" s="6">
        <v>3.2</v>
      </c>
      <c r="L524" s="6">
        <f>K524*F524</f>
        <v>26.712000000000003</v>
      </c>
      <c r="M524" s="6">
        <f>L524+J524+H524</f>
        <v>26.712000000000003</v>
      </c>
      <c r="W524" s="4"/>
      <c r="AB524" s="4" t="s">
        <v>40</v>
      </c>
    </row>
    <row r="525" spans="1:28" s="8" customFormat="1" x14ac:dyDescent="0.25">
      <c r="A525" s="5"/>
      <c r="B525" s="5"/>
      <c r="C525" s="41" t="s">
        <v>52</v>
      </c>
      <c r="D525" s="5" t="s">
        <v>28</v>
      </c>
      <c r="E525" s="7">
        <v>1</v>
      </c>
      <c r="F525" s="7">
        <f>E525*F522</f>
        <v>225</v>
      </c>
      <c r="G525" s="6">
        <v>1.8</v>
      </c>
      <c r="H525" s="6">
        <f>G525*F525</f>
        <v>405</v>
      </c>
      <c r="I525" s="6"/>
      <c r="J525" s="6"/>
      <c r="K525" s="6"/>
      <c r="L525" s="6"/>
      <c r="M525" s="6">
        <f>L525+J525+H525</f>
        <v>405</v>
      </c>
      <c r="W525" s="4"/>
      <c r="AB525" s="4" t="s">
        <v>40</v>
      </c>
    </row>
    <row r="526" spans="1:28" s="8" customFormat="1" x14ac:dyDescent="0.25">
      <c r="A526" s="5"/>
      <c r="B526" s="5"/>
      <c r="C526" s="41" t="s">
        <v>43</v>
      </c>
      <c r="D526" s="5" t="s">
        <v>1</v>
      </c>
      <c r="E526" s="7">
        <v>1.44E-2</v>
      </c>
      <c r="F526" s="7">
        <f>E526*F522</f>
        <v>3.2399999999999998</v>
      </c>
      <c r="G526" s="6">
        <v>3.2</v>
      </c>
      <c r="H526" s="6">
        <f>G526*F526</f>
        <v>10.368</v>
      </c>
      <c r="I526" s="6"/>
      <c r="J526" s="6"/>
      <c r="K526" s="6"/>
      <c r="L526" s="6"/>
      <c r="M526" s="6">
        <f>L526+J526+H526</f>
        <v>10.368</v>
      </c>
      <c r="W526" s="4"/>
      <c r="AB526" s="4" t="s">
        <v>40</v>
      </c>
    </row>
    <row r="527" spans="1:28" s="65" customFormat="1" ht="40.5" x14ac:dyDescent="0.25">
      <c r="A527" s="49" t="s">
        <v>39</v>
      </c>
      <c r="B527" s="24" t="s">
        <v>139</v>
      </c>
      <c r="C527" s="24" t="s">
        <v>179</v>
      </c>
      <c r="D527" s="24" t="s">
        <v>25</v>
      </c>
      <c r="E527" s="25"/>
      <c r="F527" s="25">
        <v>10</v>
      </c>
      <c r="G527" s="24"/>
      <c r="H527" s="24"/>
      <c r="I527" s="24"/>
      <c r="J527" s="24"/>
      <c r="K527" s="24"/>
      <c r="L527" s="24"/>
      <c r="M527" s="24"/>
      <c r="O527" s="8"/>
      <c r="W527" s="4"/>
      <c r="AB527" s="4" t="s">
        <v>40</v>
      </c>
    </row>
    <row r="528" spans="1:28" s="65" customFormat="1" x14ac:dyDescent="0.25">
      <c r="A528" s="109"/>
      <c r="B528" s="26" t="s">
        <v>41</v>
      </c>
      <c r="C528" s="26" t="s">
        <v>30</v>
      </c>
      <c r="D528" s="77" t="str">
        <f>D527</f>
        <v>cali</v>
      </c>
      <c r="E528" s="110">
        <v>1</v>
      </c>
      <c r="F528" s="110">
        <f>F527*E528</f>
        <v>10</v>
      </c>
      <c r="G528" s="26"/>
      <c r="H528" s="26"/>
      <c r="I528" s="26">
        <v>5</v>
      </c>
      <c r="J528" s="26">
        <f>F528*I528</f>
        <v>50</v>
      </c>
      <c r="K528" s="26"/>
      <c r="L528" s="26"/>
      <c r="M528" s="26">
        <f>H528+J528+L528</f>
        <v>50</v>
      </c>
      <c r="O528" s="8"/>
      <c r="W528" s="4"/>
      <c r="AB528" s="4" t="s">
        <v>40</v>
      </c>
    </row>
    <row r="529" spans="1:28" s="65" customFormat="1" x14ac:dyDescent="0.25">
      <c r="A529" s="109"/>
      <c r="B529" s="26"/>
      <c r="C529" s="26" t="s">
        <v>141</v>
      </c>
      <c r="D529" s="26" t="s">
        <v>1</v>
      </c>
      <c r="E529" s="110">
        <v>1.2999999999999999E-2</v>
      </c>
      <c r="F529" s="110">
        <f>F527*E529</f>
        <v>0.13</v>
      </c>
      <c r="G529" s="26"/>
      <c r="H529" s="26"/>
      <c r="I529" s="26"/>
      <c r="J529" s="26"/>
      <c r="K529" s="26">
        <v>3.2</v>
      </c>
      <c r="L529" s="26">
        <f>F529*K529</f>
        <v>0.41600000000000004</v>
      </c>
      <c r="M529" s="26">
        <f>H529+J529+L529</f>
        <v>0.41600000000000004</v>
      </c>
      <c r="O529" s="8"/>
      <c r="W529" s="4"/>
      <c r="AB529" s="4" t="s">
        <v>40</v>
      </c>
    </row>
    <row r="530" spans="1:28" s="65" customFormat="1" ht="27" x14ac:dyDescent="0.25">
      <c r="A530" s="109"/>
      <c r="B530" s="26"/>
      <c r="C530" s="26" t="s">
        <v>142</v>
      </c>
      <c r="D530" s="26" t="s">
        <v>25</v>
      </c>
      <c r="E530" s="110">
        <v>1</v>
      </c>
      <c r="F530" s="110">
        <f>F527*E530</f>
        <v>10</v>
      </c>
      <c r="G530" s="26">
        <v>5.8</v>
      </c>
      <c r="H530" s="26">
        <f>F530*G530</f>
        <v>58</v>
      </c>
      <c r="I530" s="26"/>
      <c r="J530" s="26"/>
      <c r="K530" s="26"/>
      <c r="L530" s="26"/>
      <c r="M530" s="26">
        <f>H530+J530+L530</f>
        <v>58</v>
      </c>
      <c r="O530" s="8"/>
      <c r="W530" s="4"/>
      <c r="AB530" s="4" t="s">
        <v>40</v>
      </c>
    </row>
    <row r="531" spans="1:28" s="65" customFormat="1" x14ac:dyDescent="0.25">
      <c r="A531" s="109"/>
      <c r="B531" s="26"/>
      <c r="C531" s="26" t="s">
        <v>74</v>
      </c>
      <c r="D531" s="26" t="s">
        <v>1</v>
      </c>
      <c r="E531" s="110">
        <v>9.4E-2</v>
      </c>
      <c r="F531" s="110">
        <f>F527*E531</f>
        <v>0.94</v>
      </c>
      <c r="G531" s="26">
        <v>3.2</v>
      </c>
      <c r="H531" s="26">
        <f>F531*G531</f>
        <v>3.008</v>
      </c>
      <c r="I531" s="26"/>
      <c r="J531" s="26"/>
      <c r="K531" s="26"/>
      <c r="L531" s="26"/>
      <c r="M531" s="26">
        <f>H531+J531+L531</f>
        <v>3.008</v>
      </c>
      <c r="O531" s="8"/>
      <c r="W531" s="4"/>
      <c r="AB531" s="4" t="s">
        <v>40</v>
      </c>
    </row>
    <row r="532" spans="1:28" s="65" customFormat="1" ht="40.5" x14ac:dyDescent="0.25">
      <c r="A532" s="49" t="s">
        <v>39</v>
      </c>
      <c r="B532" s="24" t="s">
        <v>139</v>
      </c>
      <c r="C532" s="24" t="s">
        <v>180</v>
      </c>
      <c r="D532" s="24" t="s">
        <v>25</v>
      </c>
      <c r="E532" s="25"/>
      <c r="F532" s="25">
        <v>5</v>
      </c>
      <c r="G532" s="24"/>
      <c r="H532" s="24"/>
      <c r="I532" s="24"/>
      <c r="J532" s="24"/>
      <c r="K532" s="24"/>
      <c r="L532" s="24"/>
      <c r="M532" s="24"/>
      <c r="O532" s="8"/>
      <c r="W532" s="4"/>
      <c r="AB532" s="4" t="s">
        <v>40</v>
      </c>
    </row>
    <row r="533" spans="1:28" s="65" customFormat="1" x14ac:dyDescent="0.25">
      <c r="A533" s="109"/>
      <c r="B533" s="26" t="s">
        <v>41</v>
      </c>
      <c r="C533" s="26" t="s">
        <v>30</v>
      </c>
      <c r="D533" s="77" t="str">
        <f>D532</f>
        <v>cali</v>
      </c>
      <c r="E533" s="110">
        <v>1</v>
      </c>
      <c r="F533" s="110">
        <f>F532*E533</f>
        <v>5</v>
      </c>
      <c r="G533" s="26"/>
      <c r="H533" s="26"/>
      <c r="I533" s="26">
        <v>5</v>
      </c>
      <c r="J533" s="26">
        <f>F533*I533</f>
        <v>25</v>
      </c>
      <c r="K533" s="26"/>
      <c r="L533" s="26"/>
      <c r="M533" s="26">
        <f>H533+J533+L533</f>
        <v>25</v>
      </c>
      <c r="O533" s="8"/>
      <c r="W533" s="4"/>
      <c r="AB533" s="4" t="s">
        <v>40</v>
      </c>
    </row>
    <row r="534" spans="1:28" s="65" customFormat="1" x14ac:dyDescent="0.25">
      <c r="A534" s="109"/>
      <c r="B534" s="26"/>
      <c r="C534" s="26" t="s">
        <v>141</v>
      </c>
      <c r="D534" s="26" t="s">
        <v>1</v>
      </c>
      <c r="E534" s="110">
        <v>1.2999999999999999E-2</v>
      </c>
      <c r="F534" s="110">
        <f>F532*E534</f>
        <v>6.5000000000000002E-2</v>
      </c>
      <c r="G534" s="26"/>
      <c r="H534" s="26"/>
      <c r="I534" s="26"/>
      <c r="J534" s="26"/>
      <c r="K534" s="26">
        <v>3.2</v>
      </c>
      <c r="L534" s="26">
        <f>F534*K534</f>
        <v>0.20800000000000002</v>
      </c>
      <c r="M534" s="26">
        <f>H534+J534+L534</f>
        <v>0.20800000000000002</v>
      </c>
      <c r="O534" s="8"/>
      <c r="W534" s="4"/>
      <c r="AB534" s="4" t="s">
        <v>40</v>
      </c>
    </row>
    <row r="535" spans="1:28" s="65" customFormat="1" ht="27" x14ac:dyDescent="0.25">
      <c r="A535" s="109"/>
      <c r="B535" s="26"/>
      <c r="C535" s="26" t="s">
        <v>142</v>
      </c>
      <c r="D535" s="26" t="s">
        <v>25</v>
      </c>
      <c r="E535" s="110">
        <v>1</v>
      </c>
      <c r="F535" s="110">
        <f>F532*E535</f>
        <v>5</v>
      </c>
      <c r="G535" s="26">
        <v>5.8</v>
      </c>
      <c r="H535" s="26">
        <f>F535*G535</f>
        <v>29</v>
      </c>
      <c r="I535" s="26"/>
      <c r="J535" s="26"/>
      <c r="K535" s="26"/>
      <c r="L535" s="26"/>
      <c r="M535" s="26">
        <f>H535+J535+L535</f>
        <v>29</v>
      </c>
      <c r="O535" s="8"/>
      <c r="W535" s="4"/>
      <c r="AB535" s="4" t="s">
        <v>40</v>
      </c>
    </row>
    <row r="536" spans="1:28" s="65" customFormat="1" x14ac:dyDescent="0.25">
      <c r="A536" s="109"/>
      <c r="B536" s="26"/>
      <c r="C536" s="26" t="s">
        <v>74</v>
      </c>
      <c r="D536" s="26" t="s">
        <v>1</v>
      </c>
      <c r="E536" s="110">
        <v>9.4E-2</v>
      </c>
      <c r="F536" s="110">
        <f>F532*E536</f>
        <v>0.47</v>
      </c>
      <c r="G536" s="26">
        <v>3.2</v>
      </c>
      <c r="H536" s="26">
        <f>F536*G536</f>
        <v>1.504</v>
      </c>
      <c r="I536" s="26"/>
      <c r="J536" s="26"/>
      <c r="K536" s="26"/>
      <c r="L536" s="26"/>
      <c r="M536" s="26">
        <f>H536+J536+L536</f>
        <v>1.504</v>
      </c>
      <c r="O536" s="8"/>
      <c r="W536" s="4"/>
      <c r="AB536" s="4" t="s">
        <v>40</v>
      </c>
    </row>
    <row r="537" spans="1:28" s="65" customFormat="1" ht="40.5" x14ac:dyDescent="0.25">
      <c r="A537" s="49" t="s">
        <v>39</v>
      </c>
      <c r="B537" s="24" t="s">
        <v>139</v>
      </c>
      <c r="C537" s="24" t="s">
        <v>181</v>
      </c>
      <c r="D537" s="24" t="s">
        <v>25</v>
      </c>
      <c r="E537" s="25"/>
      <c r="F537" s="25">
        <v>1</v>
      </c>
      <c r="G537" s="24"/>
      <c r="H537" s="24"/>
      <c r="I537" s="24"/>
      <c r="J537" s="24"/>
      <c r="K537" s="24"/>
      <c r="L537" s="24"/>
      <c r="M537" s="24"/>
      <c r="O537" s="8"/>
      <c r="W537" s="4"/>
      <c r="AB537" s="4" t="s">
        <v>40</v>
      </c>
    </row>
    <row r="538" spans="1:28" s="65" customFormat="1" x14ac:dyDescent="0.25">
      <c r="A538" s="109"/>
      <c r="B538" s="26" t="s">
        <v>41</v>
      </c>
      <c r="C538" s="26" t="s">
        <v>30</v>
      </c>
      <c r="D538" s="77" t="str">
        <f>D537</f>
        <v>cali</v>
      </c>
      <c r="E538" s="110">
        <v>1</v>
      </c>
      <c r="F538" s="110">
        <f>F537*E538</f>
        <v>1</v>
      </c>
      <c r="G538" s="26"/>
      <c r="H538" s="26"/>
      <c r="I538" s="26">
        <v>5</v>
      </c>
      <c r="J538" s="26">
        <f>F538*I538</f>
        <v>5</v>
      </c>
      <c r="K538" s="26"/>
      <c r="L538" s="26"/>
      <c r="M538" s="26">
        <f>H538+J538+L538</f>
        <v>5</v>
      </c>
      <c r="O538" s="8"/>
      <c r="W538" s="4"/>
      <c r="AB538" s="4" t="s">
        <v>40</v>
      </c>
    </row>
    <row r="539" spans="1:28" s="65" customFormat="1" x14ac:dyDescent="0.25">
      <c r="A539" s="109"/>
      <c r="B539" s="26"/>
      <c r="C539" s="26" t="s">
        <v>141</v>
      </c>
      <c r="D539" s="26" t="s">
        <v>1</v>
      </c>
      <c r="E539" s="110">
        <v>1.2999999999999999E-2</v>
      </c>
      <c r="F539" s="110">
        <f>F537*E539</f>
        <v>1.2999999999999999E-2</v>
      </c>
      <c r="G539" s="26"/>
      <c r="H539" s="26"/>
      <c r="I539" s="26"/>
      <c r="J539" s="26"/>
      <c r="K539" s="26">
        <v>3.2</v>
      </c>
      <c r="L539" s="26">
        <f>F539*K539</f>
        <v>4.1599999999999998E-2</v>
      </c>
      <c r="M539" s="26">
        <f>H539+J539+L539</f>
        <v>4.1599999999999998E-2</v>
      </c>
      <c r="O539" s="8"/>
      <c r="W539" s="4"/>
      <c r="AB539" s="4" t="s">
        <v>40</v>
      </c>
    </row>
    <row r="540" spans="1:28" s="65" customFormat="1" ht="27" x14ac:dyDescent="0.25">
      <c r="A540" s="109"/>
      <c r="B540" s="26"/>
      <c r="C540" s="26" t="s">
        <v>142</v>
      </c>
      <c r="D540" s="26" t="s">
        <v>25</v>
      </c>
      <c r="E540" s="110">
        <v>1</v>
      </c>
      <c r="F540" s="110">
        <f>F537*E540</f>
        <v>1</v>
      </c>
      <c r="G540" s="26">
        <v>5.8</v>
      </c>
      <c r="H540" s="26">
        <f>F540*G540</f>
        <v>5.8</v>
      </c>
      <c r="I540" s="26"/>
      <c r="J540" s="26"/>
      <c r="K540" s="26"/>
      <c r="L540" s="26"/>
      <c r="M540" s="26">
        <f>H540+J540+L540</f>
        <v>5.8</v>
      </c>
      <c r="O540" s="8"/>
      <c r="W540" s="4"/>
      <c r="AB540" s="4" t="s">
        <v>40</v>
      </c>
    </row>
    <row r="541" spans="1:28" s="65" customFormat="1" x14ac:dyDescent="0.25">
      <c r="A541" s="109"/>
      <c r="B541" s="26"/>
      <c r="C541" s="26" t="s">
        <v>74</v>
      </c>
      <c r="D541" s="26" t="s">
        <v>1</v>
      </c>
      <c r="E541" s="110">
        <v>9.4E-2</v>
      </c>
      <c r="F541" s="110">
        <f>F537*E541</f>
        <v>9.4E-2</v>
      </c>
      <c r="G541" s="26">
        <v>3.2</v>
      </c>
      <c r="H541" s="26">
        <f>F541*G541</f>
        <v>0.30080000000000001</v>
      </c>
      <c r="I541" s="26"/>
      <c r="J541" s="26"/>
      <c r="K541" s="26"/>
      <c r="L541" s="26"/>
      <c r="M541" s="26">
        <f>H541+J541+L541</f>
        <v>0.30080000000000001</v>
      </c>
      <c r="O541" s="8"/>
      <c r="W541" s="4"/>
      <c r="AB541" s="4" t="s">
        <v>40</v>
      </c>
    </row>
    <row r="542" spans="1:28" s="65" customFormat="1" ht="27" x14ac:dyDescent="0.25">
      <c r="A542" s="49" t="s">
        <v>39</v>
      </c>
      <c r="B542" s="24" t="s">
        <v>144</v>
      </c>
      <c r="C542" s="24" t="s">
        <v>182</v>
      </c>
      <c r="D542" s="24" t="s">
        <v>25</v>
      </c>
      <c r="E542" s="25"/>
      <c r="F542" s="25">
        <v>1</v>
      </c>
      <c r="G542" s="24"/>
      <c r="H542" s="24"/>
      <c r="I542" s="24"/>
      <c r="J542" s="24"/>
      <c r="K542" s="24"/>
      <c r="L542" s="24"/>
      <c r="M542" s="24"/>
      <c r="O542" s="8"/>
      <c r="W542" s="4"/>
      <c r="AB542" s="4" t="s">
        <v>40</v>
      </c>
    </row>
    <row r="543" spans="1:28" s="65" customFormat="1" x14ac:dyDescent="0.25">
      <c r="A543" s="109"/>
      <c r="B543" s="26" t="s">
        <v>41</v>
      </c>
      <c r="C543" s="26" t="s">
        <v>30</v>
      </c>
      <c r="D543" s="77" t="str">
        <f>D542</f>
        <v>cali</v>
      </c>
      <c r="E543" s="110">
        <v>1</v>
      </c>
      <c r="F543" s="110">
        <f>F542*E543</f>
        <v>1</v>
      </c>
      <c r="G543" s="26"/>
      <c r="H543" s="26"/>
      <c r="I543" s="26">
        <v>5</v>
      </c>
      <c r="J543" s="26">
        <f>F543*I543</f>
        <v>5</v>
      </c>
      <c r="K543" s="26"/>
      <c r="L543" s="26"/>
      <c r="M543" s="26">
        <f>H543+J543+L543</f>
        <v>5</v>
      </c>
      <c r="O543" s="8"/>
      <c r="W543" s="4"/>
      <c r="AB543" s="4" t="s">
        <v>40</v>
      </c>
    </row>
    <row r="544" spans="1:28" s="65" customFormat="1" x14ac:dyDescent="0.25">
      <c r="A544" s="109"/>
      <c r="B544" s="26"/>
      <c r="C544" s="26" t="s">
        <v>141</v>
      </c>
      <c r="D544" s="26" t="s">
        <v>1</v>
      </c>
      <c r="E544" s="110">
        <v>1.0999999999999999E-2</v>
      </c>
      <c r="F544" s="110">
        <f>F542*E544</f>
        <v>1.0999999999999999E-2</v>
      </c>
      <c r="G544" s="26"/>
      <c r="H544" s="26"/>
      <c r="I544" s="26"/>
      <c r="J544" s="26"/>
      <c r="K544" s="26">
        <v>3.2</v>
      </c>
      <c r="L544" s="26">
        <f>F544*K544</f>
        <v>3.5200000000000002E-2</v>
      </c>
      <c r="M544" s="26">
        <f>H544+J544+L544</f>
        <v>3.5200000000000002E-2</v>
      </c>
      <c r="O544" s="8"/>
      <c r="W544" s="4"/>
      <c r="AB544" s="4" t="s">
        <v>40</v>
      </c>
    </row>
    <row r="545" spans="1:28" s="65" customFormat="1" x14ac:dyDescent="0.25">
      <c r="A545" s="109"/>
      <c r="B545" s="26"/>
      <c r="C545" s="26" t="s">
        <v>146</v>
      </c>
      <c r="D545" s="26" t="s">
        <v>25</v>
      </c>
      <c r="E545" s="110">
        <v>1</v>
      </c>
      <c r="F545" s="110">
        <f>F542*E545</f>
        <v>1</v>
      </c>
      <c r="G545" s="26">
        <v>7.5</v>
      </c>
      <c r="H545" s="26">
        <f>F545*G545</f>
        <v>7.5</v>
      </c>
      <c r="I545" s="26"/>
      <c r="J545" s="26"/>
      <c r="K545" s="26"/>
      <c r="L545" s="26"/>
      <c r="M545" s="26">
        <f>H545+J545+L545</f>
        <v>7.5</v>
      </c>
      <c r="O545" s="8"/>
      <c r="W545" s="4"/>
      <c r="AB545" s="4" t="s">
        <v>40</v>
      </c>
    </row>
    <row r="546" spans="1:28" s="65" customFormat="1" x14ac:dyDescent="0.25">
      <c r="A546" s="109"/>
      <c r="B546" s="26"/>
      <c r="C546" s="26" t="s">
        <v>74</v>
      </c>
      <c r="D546" s="26" t="s">
        <v>1</v>
      </c>
      <c r="E546" s="110">
        <v>0.10299999999999999</v>
      </c>
      <c r="F546" s="110">
        <f>F542*E546</f>
        <v>0.10299999999999999</v>
      </c>
      <c r="G546" s="26">
        <v>3.2</v>
      </c>
      <c r="H546" s="26">
        <f>F546*G546</f>
        <v>0.3296</v>
      </c>
      <c r="I546" s="26"/>
      <c r="J546" s="26"/>
      <c r="K546" s="26"/>
      <c r="L546" s="26"/>
      <c r="M546" s="26">
        <f>H546+J546+L546</f>
        <v>0.3296</v>
      </c>
      <c r="O546" s="8"/>
      <c r="W546" s="4"/>
      <c r="AB546" s="4" t="s">
        <v>40</v>
      </c>
    </row>
    <row r="547" spans="1:28" s="65" customFormat="1" ht="27" x14ac:dyDescent="0.25">
      <c r="A547" s="49" t="s">
        <v>39</v>
      </c>
      <c r="B547" s="24" t="s">
        <v>144</v>
      </c>
      <c r="C547" s="24" t="s">
        <v>183</v>
      </c>
      <c r="D547" s="24" t="s">
        <v>25</v>
      </c>
      <c r="E547" s="25"/>
      <c r="F547" s="25">
        <v>1</v>
      </c>
      <c r="G547" s="24"/>
      <c r="H547" s="24"/>
      <c r="I547" s="24"/>
      <c r="J547" s="24"/>
      <c r="K547" s="24"/>
      <c r="L547" s="24"/>
      <c r="M547" s="24"/>
      <c r="O547" s="8"/>
      <c r="W547" s="4"/>
      <c r="AB547" s="4" t="s">
        <v>40</v>
      </c>
    </row>
    <row r="548" spans="1:28" s="65" customFormat="1" x14ac:dyDescent="0.25">
      <c r="A548" s="109"/>
      <c r="B548" s="26" t="s">
        <v>41</v>
      </c>
      <c r="C548" s="26" t="s">
        <v>30</v>
      </c>
      <c r="D548" s="77" t="str">
        <f>D547</f>
        <v>cali</v>
      </c>
      <c r="E548" s="110">
        <v>1</v>
      </c>
      <c r="F548" s="110">
        <f>F547*E548</f>
        <v>1</v>
      </c>
      <c r="G548" s="26"/>
      <c r="H548" s="26"/>
      <c r="I548" s="26">
        <v>5</v>
      </c>
      <c r="J548" s="26">
        <f>F548*I548</f>
        <v>5</v>
      </c>
      <c r="K548" s="26"/>
      <c r="L548" s="26"/>
      <c r="M548" s="26">
        <f>H548+J548+L548</f>
        <v>5</v>
      </c>
      <c r="O548" s="8"/>
      <c r="W548" s="4"/>
      <c r="AB548" s="4" t="s">
        <v>40</v>
      </c>
    </row>
    <row r="549" spans="1:28" s="65" customFormat="1" x14ac:dyDescent="0.25">
      <c r="A549" s="109"/>
      <c r="B549" s="26"/>
      <c r="C549" s="26" t="s">
        <v>141</v>
      </c>
      <c r="D549" s="26" t="s">
        <v>1</v>
      </c>
      <c r="E549" s="110">
        <v>1.0999999999999999E-2</v>
      </c>
      <c r="F549" s="110">
        <f>F547*E549</f>
        <v>1.0999999999999999E-2</v>
      </c>
      <c r="G549" s="26"/>
      <c r="H549" s="26"/>
      <c r="I549" s="26"/>
      <c r="J549" s="26"/>
      <c r="K549" s="26">
        <v>3.2</v>
      </c>
      <c r="L549" s="26">
        <f>F549*K549</f>
        <v>3.5200000000000002E-2</v>
      </c>
      <c r="M549" s="26">
        <f>H549+J549+L549</f>
        <v>3.5200000000000002E-2</v>
      </c>
      <c r="O549" s="8"/>
      <c r="W549" s="4"/>
      <c r="AB549" s="4" t="s">
        <v>40</v>
      </c>
    </row>
    <row r="550" spans="1:28" s="65" customFormat="1" x14ac:dyDescent="0.25">
      <c r="A550" s="109"/>
      <c r="B550" s="26"/>
      <c r="C550" s="26" t="s">
        <v>146</v>
      </c>
      <c r="D550" s="26" t="s">
        <v>25</v>
      </c>
      <c r="E550" s="110">
        <v>1</v>
      </c>
      <c r="F550" s="110">
        <f>F547*E550</f>
        <v>1</v>
      </c>
      <c r="G550" s="26">
        <v>7.5</v>
      </c>
      <c r="H550" s="26">
        <f>F550*G550</f>
        <v>7.5</v>
      </c>
      <c r="I550" s="26"/>
      <c r="J550" s="26"/>
      <c r="K550" s="26"/>
      <c r="L550" s="26"/>
      <c r="M550" s="26">
        <f>H550+J550+L550</f>
        <v>7.5</v>
      </c>
      <c r="O550" s="8"/>
      <c r="W550" s="4"/>
      <c r="AB550" s="4" t="s">
        <v>40</v>
      </c>
    </row>
    <row r="551" spans="1:28" s="65" customFormat="1" x14ac:dyDescent="0.25">
      <c r="A551" s="109"/>
      <c r="B551" s="26"/>
      <c r="C551" s="26" t="s">
        <v>74</v>
      </c>
      <c r="D551" s="26" t="s">
        <v>1</v>
      </c>
      <c r="E551" s="110">
        <v>0.10299999999999999</v>
      </c>
      <c r="F551" s="110">
        <f>F547*E551</f>
        <v>0.10299999999999999</v>
      </c>
      <c r="G551" s="26">
        <v>3.2</v>
      </c>
      <c r="H551" s="26">
        <f>F551*G551</f>
        <v>0.3296</v>
      </c>
      <c r="I551" s="26"/>
      <c r="J551" s="26"/>
      <c r="K551" s="26"/>
      <c r="L551" s="26"/>
      <c r="M551" s="26">
        <f>H551+J551+L551</f>
        <v>0.3296</v>
      </c>
      <c r="O551" s="8"/>
      <c r="W551" s="4"/>
      <c r="AB551" s="4" t="s">
        <v>40</v>
      </c>
    </row>
    <row r="552" spans="1:28" s="65" customFormat="1" ht="27" x14ac:dyDescent="0.25">
      <c r="A552" s="49" t="s">
        <v>39</v>
      </c>
      <c r="B552" s="24" t="s">
        <v>144</v>
      </c>
      <c r="C552" s="24" t="s">
        <v>184</v>
      </c>
      <c r="D552" s="24" t="s">
        <v>25</v>
      </c>
      <c r="E552" s="25"/>
      <c r="F552" s="25">
        <v>1</v>
      </c>
      <c r="G552" s="24"/>
      <c r="H552" s="24"/>
      <c r="I552" s="24"/>
      <c r="J552" s="24"/>
      <c r="K552" s="24"/>
      <c r="L552" s="24"/>
      <c r="M552" s="24"/>
      <c r="O552" s="8"/>
      <c r="W552" s="4"/>
      <c r="AB552" s="4" t="s">
        <v>40</v>
      </c>
    </row>
    <row r="553" spans="1:28" s="65" customFormat="1" x14ac:dyDescent="0.25">
      <c r="A553" s="109"/>
      <c r="B553" s="26" t="s">
        <v>41</v>
      </c>
      <c r="C553" s="26" t="s">
        <v>30</v>
      </c>
      <c r="D553" s="77" t="str">
        <f>D552</f>
        <v>cali</v>
      </c>
      <c r="E553" s="110">
        <v>1</v>
      </c>
      <c r="F553" s="110">
        <f>F552*E553</f>
        <v>1</v>
      </c>
      <c r="G553" s="26"/>
      <c r="H553" s="26"/>
      <c r="I553" s="26">
        <v>5</v>
      </c>
      <c r="J553" s="26">
        <f>F553*I553</f>
        <v>5</v>
      </c>
      <c r="K553" s="26"/>
      <c r="L553" s="26"/>
      <c r="M553" s="26">
        <f>H553+J553+L553</f>
        <v>5</v>
      </c>
      <c r="O553" s="8"/>
      <c r="W553" s="4"/>
      <c r="AB553" s="4" t="s">
        <v>40</v>
      </c>
    </row>
    <row r="554" spans="1:28" s="65" customFormat="1" x14ac:dyDescent="0.25">
      <c r="A554" s="109"/>
      <c r="B554" s="26"/>
      <c r="C554" s="26" t="s">
        <v>141</v>
      </c>
      <c r="D554" s="26" t="s">
        <v>1</v>
      </c>
      <c r="E554" s="110">
        <v>1.0999999999999999E-2</v>
      </c>
      <c r="F554" s="110">
        <f>F552*E554</f>
        <v>1.0999999999999999E-2</v>
      </c>
      <c r="G554" s="26"/>
      <c r="H554" s="26"/>
      <c r="I554" s="26"/>
      <c r="J554" s="26"/>
      <c r="K554" s="26">
        <v>3.2</v>
      </c>
      <c r="L554" s="26">
        <f>F554*K554</f>
        <v>3.5200000000000002E-2</v>
      </c>
      <c r="M554" s="26">
        <f>H554+J554+L554</f>
        <v>3.5200000000000002E-2</v>
      </c>
      <c r="O554" s="8"/>
      <c r="W554" s="4"/>
      <c r="AB554" s="4" t="s">
        <v>40</v>
      </c>
    </row>
    <row r="555" spans="1:28" s="65" customFormat="1" x14ac:dyDescent="0.25">
      <c r="A555" s="109"/>
      <c r="B555" s="26"/>
      <c r="C555" s="26" t="s">
        <v>146</v>
      </c>
      <c r="D555" s="26" t="s">
        <v>25</v>
      </c>
      <c r="E555" s="110">
        <v>1</v>
      </c>
      <c r="F555" s="110">
        <f>F552*E555</f>
        <v>1</v>
      </c>
      <c r="G555" s="26">
        <v>7.5</v>
      </c>
      <c r="H555" s="26">
        <f>F555*G555</f>
        <v>7.5</v>
      </c>
      <c r="I555" s="26"/>
      <c r="J555" s="26"/>
      <c r="K555" s="26"/>
      <c r="L555" s="26"/>
      <c r="M555" s="26">
        <f>H555+J555+L555</f>
        <v>7.5</v>
      </c>
      <c r="O555" s="8"/>
      <c r="W555" s="4"/>
      <c r="AB555" s="4" t="s">
        <v>40</v>
      </c>
    </row>
    <row r="556" spans="1:28" s="65" customFormat="1" x14ac:dyDescent="0.25">
      <c r="A556" s="109"/>
      <c r="B556" s="26"/>
      <c r="C556" s="26" t="s">
        <v>74</v>
      </c>
      <c r="D556" s="26" t="s">
        <v>1</v>
      </c>
      <c r="E556" s="110">
        <v>0.10299999999999999</v>
      </c>
      <c r="F556" s="110">
        <f>F552*E556</f>
        <v>0.10299999999999999</v>
      </c>
      <c r="G556" s="26">
        <v>3.2</v>
      </c>
      <c r="H556" s="26">
        <f>F556*G556</f>
        <v>0.3296</v>
      </c>
      <c r="I556" s="26"/>
      <c r="J556" s="26"/>
      <c r="K556" s="26"/>
      <c r="L556" s="26"/>
      <c r="M556" s="26">
        <f>H556+J556+L556</f>
        <v>0.3296</v>
      </c>
      <c r="O556" s="8"/>
      <c r="W556" s="4"/>
      <c r="AB556" s="4" t="s">
        <v>40</v>
      </c>
    </row>
    <row r="557" spans="1:28" s="8" customFormat="1" ht="27" x14ac:dyDescent="0.25">
      <c r="A557" s="49" t="s">
        <v>39</v>
      </c>
      <c r="B557" s="1" t="s">
        <v>47</v>
      </c>
      <c r="C557" s="40" t="s">
        <v>229</v>
      </c>
      <c r="D557" s="1" t="s">
        <v>25</v>
      </c>
      <c r="E557" s="3"/>
      <c r="F557" s="3">
        <v>6</v>
      </c>
      <c r="G557" s="2"/>
      <c r="H557" s="6"/>
      <c r="I557" s="2"/>
      <c r="J557" s="6"/>
      <c r="K557" s="2"/>
      <c r="L557" s="6"/>
      <c r="M557" s="6"/>
      <c r="W557" s="4"/>
      <c r="AB557" s="4" t="s">
        <v>40</v>
      </c>
    </row>
    <row r="558" spans="1:28" s="8" customFormat="1" x14ac:dyDescent="0.25">
      <c r="A558" s="5"/>
      <c r="B558" s="5" t="s">
        <v>41</v>
      </c>
      <c r="C558" s="41" t="s">
        <v>30</v>
      </c>
      <c r="D558" s="77" t="str">
        <f>D557</f>
        <v>cali</v>
      </c>
      <c r="E558" s="82">
        <v>1.66</v>
      </c>
      <c r="F558" s="7">
        <f>E558*F557</f>
        <v>9.9599999999999991</v>
      </c>
      <c r="G558" s="6"/>
      <c r="H558" s="6"/>
      <c r="I558" s="6">
        <v>12.5</v>
      </c>
      <c r="J558" s="6">
        <f>I558*F558</f>
        <v>124.49999999999999</v>
      </c>
      <c r="K558" s="6"/>
      <c r="L558" s="6"/>
      <c r="M558" s="6">
        <f>L558+J558+H558</f>
        <v>124.49999999999999</v>
      </c>
      <c r="W558" s="4"/>
      <c r="AB558" s="4" t="s">
        <v>40</v>
      </c>
    </row>
    <row r="559" spans="1:28" s="8" customFormat="1" x14ac:dyDescent="0.25">
      <c r="A559" s="5"/>
      <c r="B559" s="5"/>
      <c r="C559" s="41" t="s">
        <v>34</v>
      </c>
      <c r="D559" s="5" t="s">
        <v>1</v>
      </c>
      <c r="E559" s="7">
        <v>0.68700000000000006</v>
      </c>
      <c r="F559" s="7">
        <f>E559*F557</f>
        <v>4.1219999999999999</v>
      </c>
      <c r="G559" s="6"/>
      <c r="H559" s="6"/>
      <c r="I559" s="6"/>
      <c r="J559" s="6"/>
      <c r="K559" s="6">
        <v>3.2</v>
      </c>
      <c r="L559" s="6">
        <f>K559*F559</f>
        <v>13.1904</v>
      </c>
      <c r="M559" s="6">
        <f>L559+J559+H559</f>
        <v>13.1904</v>
      </c>
      <c r="W559" s="4"/>
      <c r="AB559" s="4" t="s">
        <v>40</v>
      </c>
    </row>
    <row r="560" spans="1:28" s="8" customFormat="1" x14ac:dyDescent="0.25">
      <c r="A560" s="5"/>
      <c r="B560" s="5"/>
      <c r="C560" s="41" t="s">
        <v>44</v>
      </c>
      <c r="D560" s="5" t="s">
        <v>1</v>
      </c>
      <c r="E560" s="7">
        <v>0.67300000000000004</v>
      </c>
      <c r="F560" s="7">
        <f>E560*F557</f>
        <v>4.0380000000000003</v>
      </c>
      <c r="G560" s="6">
        <v>3.2</v>
      </c>
      <c r="H560" s="6">
        <f>G560*F560</f>
        <v>12.921600000000002</v>
      </c>
      <c r="I560" s="6"/>
      <c r="J560" s="6"/>
      <c r="K560" s="6"/>
      <c r="L560" s="6"/>
      <c r="M560" s="6">
        <f>L560+J560+H560</f>
        <v>12.921600000000002</v>
      </c>
      <c r="W560" s="4"/>
      <c r="AB560" s="4" t="s">
        <v>40</v>
      </c>
    </row>
    <row r="561" spans="1:28" s="8" customFormat="1" x14ac:dyDescent="0.25">
      <c r="A561" s="5"/>
      <c r="B561" s="5"/>
      <c r="C561" s="41" t="s">
        <v>35</v>
      </c>
      <c r="D561" s="5" t="s">
        <v>25</v>
      </c>
      <c r="E561" s="7">
        <v>1</v>
      </c>
      <c r="F561" s="7">
        <f>E561*F557</f>
        <v>6</v>
      </c>
      <c r="G561" s="6">
        <v>45</v>
      </c>
      <c r="H561" s="6">
        <f>G561*F561</f>
        <v>270</v>
      </c>
      <c r="I561" s="6"/>
      <c r="J561" s="6"/>
      <c r="K561" s="6"/>
      <c r="L561" s="6"/>
      <c r="M561" s="6">
        <f>L561+J561+H561</f>
        <v>270</v>
      </c>
      <c r="W561" s="4"/>
      <c r="AB561" s="4" t="s">
        <v>40</v>
      </c>
    </row>
    <row r="562" spans="1:28" s="117" customFormat="1" ht="27" x14ac:dyDescent="0.25">
      <c r="A562" s="49" t="s">
        <v>39</v>
      </c>
      <c r="B562" s="48" t="s">
        <v>147</v>
      </c>
      <c r="C562" s="48" t="s">
        <v>185</v>
      </c>
      <c r="D562" s="48" t="s">
        <v>148</v>
      </c>
      <c r="E562" s="67"/>
      <c r="F562" s="67">
        <v>1</v>
      </c>
      <c r="G562" s="48"/>
      <c r="H562" s="48"/>
      <c r="I562" s="48"/>
      <c r="J562" s="48"/>
      <c r="K562" s="48"/>
      <c r="L562" s="48"/>
      <c r="M562" s="48"/>
      <c r="O562" s="8"/>
      <c r="W562" s="4"/>
      <c r="AB562" s="4" t="s">
        <v>40</v>
      </c>
    </row>
    <row r="563" spans="1:28" s="101" customFormat="1" x14ac:dyDescent="0.25">
      <c r="A563" s="87"/>
      <c r="B563" s="57" t="s">
        <v>41</v>
      </c>
      <c r="C563" s="57" t="s">
        <v>30</v>
      </c>
      <c r="D563" s="77" t="str">
        <f>D562</f>
        <v>komp.</v>
      </c>
      <c r="E563" s="58">
        <v>1</v>
      </c>
      <c r="F563" s="58">
        <f>F562*E563</f>
        <v>1</v>
      </c>
      <c r="G563" s="57"/>
      <c r="H563" s="57"/>
      <c r="I563" s="57">
        <v>125</v>
      </c>
      <c r="J563" s="57">
        <f>F563*I563</f>
        <v>125</v>
      </c>
      <c r="K563" s="57"/>
      <c r="L563" s="57"/>
      <c r="M563" s="57">
        <f>H563+J563+L563</f>
        <v>125</v>
      </c>
      <c r="O563" s="8"/>
      <c r="W563" s="4"/>
      <c r="AB563" s="4" t="s">
        <v>40</v>
      </c>
    </row>
    <row r="564" spans="1:28" s="101" customFormat="1" x14ac:dyDescent="0.25">
      <c r="A564" s="87"/>
      <c r="B564" s="57"/>
      <c r="C564" s="57" t="s">
        <v>149</v>
      </c>
      <c r="D564" s="57" t="s">
        <v>120</v>
      </c>
      <c r="E564" s="58">
        <v>1</v>
      </c>
      <c r="F564" s="58">
        <f>F562*E564</f>
        <v>1</v>
      </c>
      <c r="G564" s="57">
        <v>825</v>
      </c>
      <c r="H564" s="57">
        <f>F564*G564</f>
        <v>825</v>
      </c>
      <c r="I564" s="57"/>
      <c r="J564" s="57"/>
      <c r="K564" s="57"/>
      <c r="L564" s="57"/>
      <c r="M564" s="57">
        <f>H564+J564+L564</f>
        <v>825</v>
      </c>
      <c r="O564" s="8"/>
      <c r="W564" s="4"/>
      <c r="AB564" s="4" t="s">
        <v>40</v>
      </c>
    </row>
    <row r="565" spans="1:28" ht="27" x14ac:dyDescent="0.25">
      <c r="A565" s="87"/>
      <c r="B565" s="57"/>
      <c r="C565" s="57" t="s">
        <v>150</v>
      </c>
      <c r="D565" s="57" t="s">
        <v>1</v>
      </c>
      <c r="E565" s="58">
        <v>1</v>
      </c>
      <c r="F565" s="58">
        <f>F562*E565</f>
        <v>1</v>
      </c>
      <c r="G565" s="57">
        <v>25</v>
      </c>
      <c r="H565" s="57">
        <f>F565*G565</f>
        <v>25</v>
      </c>
      <c r="I565" s="57"/>
      <c r="J565" s="57"/>
      <c r="K565" s="57"/>
      <c r="L565" s="57"/>
      <c r="M565" s="57">
        <f>H565+J565+L565</f>
        <v>25</v>
      </c>
      <c r="O565" s="8"/>
      <c r="AB565" s="4" t="s">
        <v>40</v>
      </c>
    </row>
    <row r="566" spans="1:28" s="8" customFormat="1" ht="27" x14ac:dyDescent="0.25">
      <c r="A566" s="49" t="s">
        <v>39</v>
      </c>
      <c r="B566" s="1" t="s">
        <v>47</v>
      </c>
      <c r="C566" s="40" t="s">
        <v>227</v>
      </c>
      <c r="D566" s="1" t="s">
        <v>25</v>
      </c>
      <c r="E566" s="3"/>
      <c r="F566" s="3">
        <v>6</v>
      </c>
      <c r="G566" s="2"/>
      <c r="H566" s="6"/>
      <c r="I566" s="2"/>
      <c r="J566" s="6"/>
      <c r="K566" s="2"/>
      <c r="L566" s="6"/>
      <c r="M566" s="6"/>
      <c r="W566" s="4"/>
      <c r="AB566" s="4" t="s">
        <v>40</v>
      </c>
    </row>
    <row r="567" spans="1:28" s="8" customFormat="1" x14ac:dyDescent="0.25">
      <c r="A567" s="5"/>
      <c r="B567" s="5" t="s">
        <v>41</v>
      </c>
      <c r="C567" s="41" t="s">
        <v>30</v>
      </c>
      <c r="D567" s="77" t="str">
        <f>D566</f>
        <v>cali</v>
      </c>
      <c r="E567" s="82">
        <v>1.66</v>
      </c>
      <c r="F567" s="7">
        <f>E567*F566</f>
        <v>9.9599999999999991</v>
      </c>
      <c r="G567" s="6"/>
      <c r="H567" s="6"/>
      <c r="I567" s="6">
        <v>12.5</v>
      </c>
      <c r="J567" s="6">
        <f>I567*F567</f>
        <v>124.49999999999999</v>
      </c>
      <c r="K567" s="6"/>
      <c r="L567" s="6"/>
      <c r="M567" s="6">
        <f t="shared" ref="M567:M575" si="132">L567+J567+H567</f>
        <v>124.49999999999999</v>
      </c>
      <c r="W567" s="4"/>
      <c r="AB567" s="4" t="s">
        <v>40</v>
      </c>
    </row>
    <row r="568" spans="1:28" s="8" customFormat="1" x14ac:dyDescent="0.25">
      <c r="A568" s="5"/>
      <c r="B568" s="5"/>
      <c r="C568" s="41" t="s">
        <v>34</v>
      </c>
      <c r="D568" s="5" t="s">
        <v>1</v>
      </c>
      <c r="E568" s="7">
        <v>0.68700000000000006</v>
      </c>
      <c r="F568" s="7">
        <f>E568*F566</f>
        <v>4.1219999999999999</v>
      </c>
      <c r="G568" s="6"/>
      <c r="H568" s="6"/>
      <c r="I568" s="6"/>
      <c r="J568" s="6"/>
      <c r="K568" s="6">
        <v>3.2</v>
      </c>
      <c r="L568" s="6">
        <f>K568*F568</f>
        <v>13.1904</v>
      </c>
      <c r="M568" s="6">
        <f t="shared" si="132"/>
        <v>13.1904</v>
      </c>
      <c r="W568" s="4"/>
      <c r="AB568" s="4" t="s">
        <v>40</v>
      </c>
    </row>
    <row r="569" spans="1:28" s="8" customFormat="1" x14ac:dyDescent="0.25">
      <c r="A569" s="5"/>
      <c r="B569" s="5"/>
      <c r="C569" s="41" t="s">
        <v>44</v>
      </c>
      <c r="D569" s="5" t="s">
        <v>1</v>
      </c>
      <c r="E569" s="7">
        <v>0.67300000000000004</v>
      </c>
      <c r="F569" s="7">
        <f>E569*F566</f>
        <v>4.0380000000000003</v>
      </c>
      <c r="G569" s="6">
        <v>3.2</v>
      </c>
      <c r="H569" s="6">
        <f>G569*F569</f>
        <v>12.921600000000002</v>
      </c>
      <c r="I569" s="6"/>
      <c r="J569" s="6"/>
      <c r="K569" s="6"/>
      <c r="L569" s="6"/>
      <c r="M569" s="6">
        <f t="shared" si="132"/>
        <v>12.921600000000002</v>
      </c>
      <c r="W569" s="4"/>
      <c r="AB569" s="4" t="s">
        <v>40</v>
      </c>
    </row>
    <row r="570" spans="1:28" s="8" customFormat="1" x14ac:dyDescent="0.25">
      <c r="A570" s="5"/>
      <c r="B570" s="5"/>
      <c r="C570" s="41" t="s">
        <v>35</v>
      </c>
      <c r="D570" s="5" t="s">
        <v>25</v>
      </c>
      <c r="E570" s="7">
        <v>1</v>
      </c>
      <c r="F570" s="7">
        <f>E570*F566</f>
        <v>6</v>
      </c>
      <c r="G570" s="6">
        <v>45</v>
      </c>
      <c r="H570" s="6">
        <f>G570*F570</f>
        <v>270</v>
      </c>
      <c r="I570" s="6"/>
      <c r="J570" s="6"/>
      <c r="K570" s="6"/>
      <c r="L570" s="6"/>
      <c r="M570" s="6">
        <f t="shared" si="132"/>
        <v>270</v>
      </c>
      <c r="W570" s="4"/>
      <c r="AB570" s="4" t="s">
        <v>40</v>
      </c>
    </row>
    <row r="571" spans="1:28" s="8" customFormat="1" x14ac:dyDescent="0.25">
      <c r="A571" s="49" t="s">
        <v>39</v>
      </c>
      <c r="B571" s="1" t="s">
        <v>47</v>
      </c>
      <c r="C571" s="40" t="s">
        <v>228</v>
      </c>
      <c r="D571" s="1" t="s">
        <v>25</v>
      </c>
      <c r="E571" s="3"/>
      <c r="F571" s="3">
        <v>2</v>
      </c>
      <c r="G571" s="2"/>
      <c r="H571" s="6"/>
      <c r="I571" s="2"/>
      <c r="J571" s="6"/>
      <c r="K571" s="2"/>
      <c r="L571" s="6"/>
      <c r="M571" s="6"/>
      <c r="W571" s="4"/>
      <c r="AB571" s="4" t="s">
        <v>40</v>
      </c>
    </row>
    <row r="572" spans="1:28" s="8" customFormat="1" x14ac:dyDescent="0.25">
      <c r="A572" s="5"/>
      <c r="B572" s="5" t="s">
        <v>41</v>
      </c>
      <c r="C572" s="41" t="s">
        <v>30</v>
      </c>
      <c r="D572" s="77" t="str">
        <f>D571</f>
        <v>cali</v>
      </c>
      <c r="E572" s="82">
        <v>1.66</v>
      </c>
      <c r="F572" s="7">
        <f>E572*F571</f>
        <v>3.32</v>
      </c>
      <c r="G572" s="6"/>
      <c r="H572" s="6"/>
      <c r="I572" s="6">
        <v>12.5</v>
      </c>
      <c r="J572" s="6">
        <f>I572*F572</f>
        <v>41.5</v>
      </c>
      <c r="K572" s="6"/>
      <c r="L572" s="6"/>
      <c r="M572" s="6">
        <f t="shared" si="132"/>
        <v>41.5</v>
      </c>
      <c r="W572" s="4"/>
      <c r="AB572" s="4" t="s">
        <v>40</v>
      </c>
    </row>
    <row r="573" spans="1:28" s="8" customFormat="1" x14ac:dyDescent="0.25">
      <c r="A573" s="5"/>
      <c r="B573" s="5"/>
      <c r="C573" s="41" t="s">
        <v>34</v>
      </c>
      <c r="D573" s="5" t="s">
        <v>1</v>
      </c>
      <c r="E573" s="7">
        <v>0.68700000000000006</v>
      </c>
      <c r="F573" s="7">
        <f>E573*F571</f>
        <v>1.3740000000000001</v>
      </c>
      <c r="G573" s="6"/>
      <c r="H573" s="6"/>
      <c r="I573" s="6"/>
      <c r="J573" s="6"/>
      <c r="K573" s="6">
        <v>3.2</v>
      </c>
      <c r="L573" s="6">
        <f>K573*F573</f>
        <v>4.3968000000000007</v>
      </c>
      <c r="M573" s="6">
        <f t="shared" si="132"/>
        <v>4.3968000000000007</v>
      </c>
      <c r="W573" s="4"/>
      <c r="AB573" s="4" t="s">
        <v>40</v>
      </c>
    </row>
    <row r="574" spans="1:28" s="8" customFormat="1" x14ac:dyDescent="0.25">
      <c r="A574" s="5"/>
      <c r="B574" s="5"/>
      <c r="C574" s="41" t="s">
        <v>44</v>
      </c>
      <c r="D574" s="5" t="s">
        <v>1</v>
      </c>
      <c r="E574" s="7">
        <v>0.67300000000000004</v>
      </c>
      <c r="F574" s="7">
        <f>E574*F571</f>
        <v>1.3460000000000001</v>
      </c>
      <c r="G574" s="6">
        <v>3.2</v>
      </c>
      <c r="H574" s="6">
        <f>G574*F574</f>
        <v>4.3072000000000008</v>
      </c>
      <c r="I574" s="6"/>
      <c r="J574" s="6"/>
      <c r="K574" s="6"/>
      <c r="L574" s="6"/>
      <c r="M574" s="6">
        <f t="shared" si="132"/>
        <v>4.3072000000000008</v>
      </c>
      <c r="W574" s="4"/>
      <c r="AB574" s="4" t="s">
        <v>40</v>
      </c>
    </row>
    <row r="575" spans="1:28" s="8" customFormat="1" x14ac:dyDescent="0.25">
      <c r="A575" s="5"/>
      <c r="B575" s="5"/>
      <c r="C575" s="41" t="s">
        <v>35</v>
      </c>
      <c r="D575" s="5" t="s">
        <v>25</v>
      </c>
      <c r="E575" s="7">
        <v>1</v>
      </c>
      <c r="F575" s="7">
        <f>E575*F571</f>
        <v>2</v>
      </c>
      <c r="G575" s="6">
        <v>45</v>
      </c>
      <c r="H575" s="6">
        <f>G575*F575</f>
        <v>90</v>
      </c>
      <c r="I575" s="6"/>
      <c r="J575" s="6"/>
      <c r="K575" s="6"/>
      <c r="L575" s="6"/>
      <c r="M575" s="6">
        <f t="shared" si="132"/>
        <v>90</v>
      </c>
      <c r="W575" s="4"/>
      <c r="AB575" s="4" t="s">
        <v>40</v>
      </c>
    </row>
    <row r="576" spans="1:28" s="70" customFormat="1" ht="40.5" x14ac:dyDescent="0.25">
      <c r="A576" s="49" t="s">
        <v>39</v>
      </c>
      <c r="B576" s="68" t="s">
        <v>220</v>
      </c>
      <c r="C576" s="68" t="s">
        <v>221</v>
      </c>
      <c r="D576" s="83" t="s">
        <v>25</v>
      </c>
      <c r="E576" s="78"/>
      <c r="F576" s="78">
        <v>5</v>
      </c>
      <c r="G576" s="79"/>
      <c r="H576" s="80"/>
      <c r="I576" s="57"/>
      <c r="J576" s="80"/>
      <c r="K576" s="80"/>
      <c r="L576" s="80"/>
      <c r="M576" s="57"/>
      <c r="N576" s="60"/>
      <c r="O576" s="61"/>
      <c r="P576" s="62"/>
      <c r="Q576" s="62"/>
      <c r="R576" s="61"/>
      <c r="AB576" s="4" t="s">
        <v>40</v>
      </c>
    </row>
    <row r="577" spans="1:28" s="70" customFormat="1" x14ac:dyDescent="0.25">
      <c r="A577" s="77"/>
      <c r="B577" s="55"/>
      <c r="C577" s="55" t="s">
        <v>30</v>
      </c>
      <c r="D577" s="77" t="str">
        <f>D576</f>
        <v>cali</v>
      </c>
      <c r="E577" s="82">
        <v>1</v>
      </c>
      <c r="F577" s="82">
        <f>E577*F576</f>
        <v>5</v>
      </c>
      <c r="G577" s="80"/>
      <c r="H577" s="80"/>
      <c r="I577" s="57">
        <v>6.25</v>
      </c>
      <c r="J577" s="57">
        <f t="shared" ref="J577" si="133">I577*F577</f>
        <v>31.25</v>
      </c>
      <c r="K577" s="80"/>
      <c r="L577" s="80"/>
      <c r="M577" s="57">
        <f>L577+J577+H577</f>
        <v>31.25</v>
      </c>
      <c r="N577" s="60"/>
      <c r="O577" s="61"/>
      <c r="P577" s="62"/>
      <c r="Q577" s="61"/>
      <c r="R577" s="61"/>
      <c r="AB577" s="4" t="s">
        <v>40</v>
      </c>
    </row>
    <row r="578" spans="1:28" s="70" customFormat="1" x14ac:dyDescent="0.25">
      <c r="A578" s="77"/>
      <c r="B578" s="55"/>
      <c r="C578" s="55" t="s">
        <v>222</v>
      </c>
      <c r="D578" s="77" t="s">
        <v>25</v>
      </c>
      <c r="E578" s="58">
        <v>1</v>
      </c>
      <c r="F578" s="82">
        <f>E578*F576</f>
        <v>5</v>
      </c>
      <c r="G578" s="57">
        <v>5.8</v>
      </c>
      <c r="H578" s="42">
        <f>G578*F578</f>
        <v>29</v>
      </c>
      <c r="I578" s="57"/>
      <c r="J578" s="57"/>
      <c r="K578" s="57"/>
      <c r="L578" s="57"/>
      <c r="M578" s="42">
        <f t="shared" ref="M578" si="134">L578+J578+H578</f>
        <v>29</v>
      </c>
      <c r="N578" s="60"/>
      <c r="O578" s="61"/>
      <c r="P578" s="62"/>
      <c r="Q578" s="61"/>
      <c r="R578" s="61"/>
      <c r="AB578" s="4" t="s">
        <v>40</v>
      </c>
    </row>
    <row r="579" spans="1:28" s="70" customFormat="1" x14ac:dyDescent="0.25">
      <c r="A579" s="77"/>
      <c r="B579" s="55"/>
      <c r="C579" s="55" t="s">
        <v>43</v>
      </c>
      <c r="D579" s="77" t="s">
        <v>1</v>
      </c>
      <c r="E579" s="82">
        <v>2.6599999999999999E-2</v>
      </c>
      <c r="F579" s="82">
        <f>E579*F576</f>
        <v>0.13300000000000001</v>
      </c>
      <c r="G579" s="80">
        <v>3.2</v>
      </c>
      <c r="H579" s="80">
        <f t="shared" ref="H579" si="135">G579*F579</f>
        <v>0.42560000000000003</v>
      </c>
      <c r="I579" s="57"/>
      <c r="J579" s="80"/>
      <c r="K579" s="80"/>
      <c r="L579" s="80"/>
      <c r="M579" s="57">
        <f>L579+J579+H579</f>
        <v>0.42560000000000003</v>
      </c>
      <c r="N579" s="60"/>
      <c r="O579" s="61"/>
      <c r="P579" s="62"/>
      <c r="Q579" s="61"/>
      <c r="R579" s="61"/>
      <c r="AB579" s="4" t="s">
        <v>40</v>
      </c>
    </row>
    <row r="580" spans="1:28" x14ac:dyDescent="0.25">
      <c r="A580" s="49" t="s">
        <v>39</v>
      </c>
      <c r="B580" s="151"/>
      <c r="C580" s="134"/>
      <c r="D580" s="142"/>
      <c r="E580" s="113"/>
      <c r="F580" s="149"/>
      <c r="G580" s="114"/>
      <c r="H580" s="115"/>
      <c r="I580" s="116"/>
      <c r="J580" s="114"/>
      <c r="K580" s="116"/>
      <c r="L580" s="115"/>
      <c r="M580" s="116"/>
      <c r="AB580" s="4" t="s">
        <v>40</v>
      </c>
    </row>
    <row r="581" spans="1:28" x14ac:dyDescent="0.25">
      <c r="A581" s="27" t="s">
        <v>40</v>
      </c>
      <c r="B581" s="44"/>
      <c r="C581" s="32" t="s">
        <v>22</v>
      </c>
      <c r="D581" s="45"/>
      <c r="E581" s="46"/>
      <c r="F581" s="43"/>
      <c r="G581" s="44"/>
      <c r="H581" s="32">
        <f>SUM(H478:H580)</f>
        <v>3547.2488000000003</v>
      </c>
      <c r="I581" s="44"/>
      <c r="J581" s="32">
        <f>SUM(J478:J580)</f>
        <v>1173.75</v>
      </c>
      <c r="K581" s="42"/>
      <c r="L581" s="32">
        <f>SUM(L478:L580)</f>
        <v>87.312000000000012</v>
      </c>
      <c r="M581" s="32">
        <f>L581+J581+H581</f>
        <v>4808.3108000000002</v>
      </c>
      <c r="O581" s="8"/>
      <c r="AB581" s="4" t="s">
        <v>40</v>
      </c>
    </row>
    <row r="582" spans="1:28" s="28" customFormat="1" x14ac:dyDescent="0.25">
      <c r="A582" s="27" t="s">
        <v>40</v>
      </c>
      <c r="B582" s="32"/>
      <c r="C582" s="32" t="s">
        <v>26</v>
      </c>
      <c r="D582" s="47">
        <v>0.75</v>
      </c>
      <c r="E582" s="33"/>
      <c r="F582" s="33"/>
      <c r="G582" s="32"/>
      <c r="H582" s="32">
        <v>0</v>
      </c>
      <c r="I582" s="32"/>
      <c r="J582" s="32">
        <f>J581*D582</f>
        <v>880.3125</v>
      </c>
      <c r="K582" s="32"/>
      <c r="L582" s="32">
        <v>0</v>
      </c>
      <c r="M582" s="32">
        <f>L582+J582+H582</f>
        <v>880.3125</v>
      </c>
      <c r="O582" s="8"/>
      <c r="R582" s="4"/>
      <c r="AB582" s="4" t="s">
        <v>40</v>
      </c>
    </row>
    <row r="583" spans="1:28" s="28" customFormat="1" x14ac:dyDescent="0.25">
      <c r="A583" s="27" t="s">
        <v>40</v>
      </c>
      <c r="B583" s="32"/>
      <c r="C583" s="32" t="s">
        <v>22</v>
      </c>
      <c r="D583" s="47"/>
      <c r="E583" s="33"/>
      <c r="F583" s="33"/>
      <c r="G583" s="32"/>
      <c r="H583" s="32">
        <f>H581+H582</f>
        <v>3547.2488000000003</v>
      </c>
      <c r="I583" s="32"/>
      <c r="J583" s="32">
        <f>J581+J582</f>
        <v>2054.0625</v>
      </c>
      <c r="K583" s="32"/>
      <c r="L583" s="32">
        <f>L581+L582</f>
        <v>87.312000000000012</v>
      </c>
      <c r="M583" s="32">
        <f>L583+J583+H583</f>
        <v>5688.6233000000002</v>
      </c>
      <c r="O583" s="8"/>
      <c r="R583" s="4"/>
      <c r="AB583" s="4" t="s">
        <v>40</v>
      </c>
    </row>
    <row r="584" spans="1:28" s="28" customFormat="1" x14ac:dyDescent="0.25">
      <c r="A584" s="27" t="s">
        <v>40</v>
      </c>
      <c r="B584" s="32"/>
      <c r="C584" s="32" t="s">
        <v>27</v>
      </c>
      <c r="D584" s="47">
        <v>0.08</v>
      </c>
      <c r="E584" s="33"/>
      <c r="F584" s="33"/>
      <c r="G584" s="32"/>
      <c r="H584" s="32">
        <f>H583*D584</f>
        <v>283.77990400000004</v>
      </c>
      <c r="I584" s="32"/>
      <c r="J584" s="32">
        <f>J583*D584</f>
        <v>164.32500000000002</v>
      </c>
      <c r="K584" s="32"/>
      <c r="L584" s="32">
        <f>L583*D584</f>
        <v>6.9849600000000009</v>
      </c>
      <c r="M584" s="32">
        <f>L584+J584+H584</f>
        <v>455.08986400000003</v>
      </c>
      <c r="O584" s="8"/>
      <c r="R584" s="4"/>
      <c r="AB584" s="4" t="s">
        <v>40</v>
      </c>
    </row>
    <row r="585" spans="1:28" s="28" customFormat="1" x14ac:dyDescent="0.25">
      <c r="A585" s="27" t="s">
        <v>40</v>
      </c>
      <c r="B585" s="32"/>
      <c r="C585" s="32" t="s">
        <v>31</v>
      </c>
      <c r="D585" s="47"/>
      <c r="E585" s="33"/>
      <c r="F585" s="33"/>
      <c r="G585" s="32"/>
      <c r="H585" s="32">
        <f>H583+H584</f>
        <v>3831.0287040000003</v>
      </c>
      <c r="I585" s="32"/>
      <c r="J585" s="32">
        <f>J583+J584</f>
        <v>2218.3874999999998</v>
      </c>
      <c r="K585" s="32"/>
      <c r="L585" s="32">
        <f>L583+L584</f>
        <v>94.296960000000013</v>
      </c>
      <c r="M585" s="32">
        <f>L585+J585+H585</f>
        <v>6143.7131640000007</v>
      </c>
      <c r="O585" s="8"/>
      <c r="R585" s="4"/>
      <c r="AB585" s="4" t="s">
        <v>40</v>
      </c>
    </row>
    <row r="586" spans="1:28" x14ac:dyDescent="0.25">
      <c r="A586" s="27" t="s">
        <v>40</v>
      </c>
      <c r="B586" s="9"/>
      <c r="C586" s="9"/>
      <c r="D586" s="9"/>
      <c r="E586" s="10"/>
      <c r="F586" s="10"/>
      <c r="G586" s="9"/>
      <c r="H586" s="9"/>
      <c r="I586" s="9"/>
      <c r="J586" s="9"/>
      <c r="K586" s="9"/>
      <c r="L586" s="9"/>
      <c r="M586" s="9"/>
      <c r="O586" s="8"/>
      <c r="AB586" s="4" t="s">
        <v>40</v>
      </c>
    </row>
    <row r="587" spans="1:28" x14ac:dyDescent="0.25">
      <c r="A587" s="27" t="s">
        <v>40</v>
      </c>
      <c r="B587" s="9"/>
      <c r="C587" s="9"/>
      <c r="D587" s="9"/>
      <c r="E587" s="10"/>
      <c r="F587" s="10"/>
      <c r="G587" s="9"/>
      <c r="H587" s="9"/>
      <c r="I587" s="9"/>
      <c r="J587" s="9"/>
      <c r="K587" s="9"/>
      <c r="L587" s="9"/>
      <c r="M587" s="9"/>
      <c r="O587" s="8"/>
      <c r="AB587" s="4" t="s">
        <v>40</v>
      </c>
    </row>
    <row r="588" spans="1:28" x14ac:dyDescent="0.25">
      <c r="A588" s="27" t="s">
        <v>40</v>
      </c>
      <c r="B588" s="9"/>
      <c r="C588" s="9" t="s">
        <v>48</v>
      </c>
      <c r="D588" s="9"/>
      <c r="E588" s="10"/>
      <c r="F588" s="10"/>
      <c r="G588" s="9"/>
      <c r="H588" s="9">
        <f>H585+H476</f>
        <v>35579.006106379922</v>
      </c>
      <c r="I588" s="9"/>
      <c r="J588" s="9">
        <f>J585+J476</f>
        <v>21328.345739592001</v>
      </c>
      <c r="K588" s="9"/>
      <c r="L588" s="9">
        <f>L585+L476</f>
        <v>709.83696704803197</v>
      </c>
      <c r="M588" s="32">
        <f>L588+J588+H588</f>
        <v>57617.188813019951</v>
      </c>
      <c r="AB588" s="4" t="s">
        <v>40</v>
      </c>
    </row>
    <row r="589" spans="1:28" x14ac:dyDescent="0.25">
      <c r="A589" s="27" t="s">
        <v>40</v>
      </c>
      <c r="B589" s="9"/>
      <c r="C589" s="9" t="s">
        <v>0</v>
      </c>
      <c r="D589" s="47">
        <v>0.05</v>
      </c>
      <c r="E589" s="10"/>
      <c r="F589" s="10"/>
      <c r="G589" s="9"/>
      <c r="H589" s="32">
        <f>H588*D589</f>
        <v>1778.9503053189962</v>
      </c>
      <c r="I589" s="32"/>
      <c r="J589" s="32">
        <f>J588*D589</f>
        <v>1066.4172869796</v>
      </c>
      <c r="K589" s="32"/>
      <c r="L589" s="32">
        <f>L588*D589</f>
        <v>35.491848352401597</v>
      </c>
      <c r="M589" s="32">
        <f>L589+J589+H589</f>
        <v>2880.8594406509978</v>
      </c>
      <c r="AB589" s="4" t="s">
        <v>40</v>
      </c>
    </row>
    <row r="590" spans="1:28" s="28" customFormat="1" x14ac:dyDescent="0.25">
      <c r="A590" s="27" t="s">
        <v>40</v>
      </c>
      <c r="B590" s="32"/>
      <c r="C590" s="32" t="s">
        <v>22</v>
      </c>
      <c r="D590" s="47"/>
      <c r="E590" s="33"/>
      <c r="F590" s="33"/>
      <c r="G590" s="32"/>
      <c r="H590" s="32">
        <f>H588+H589</f>
        <v>37357.95641169892</v>
      </c>
      <c r="I590" s="32"/>
      <c r="J590" s="32">
        <f>J588+J589</f>
        <v>22394.7630265716</v>
      </c>
      <c r="K590" s="32"/>
      <c r="L590" s="32">
        <f>L588+L589</f>
        <v>745.32881540043354</v>
      </c>
      <c r="M590" s="32">
        <f>L590+J590+H590</f>
        <v>60498.048253670953</v>
      </c>
      <c r="R590" s="4"/>
      <c r="AB590" s="4" t="s">
        <v>40</v>
      </c>
    </row>
    <row r="591" spans="1:28" x14ac:dyDescent="0.25">
      <c r="A591" s="27" t="s">
        <v>40</v>
      </c>
      <c r="B591" s="9"/>
      <c r="C591" s="9" t="s">
        <v>49</v>
      </c>
      <c r="D591" s="47">
        <v>0.18</v>
      </c>
      <c r="E591" s="10"/>
      <c r="F591" s="10"/>
      <c r="G591" s="9"/>
      <c r="H591" s="32">
        <f>H590*D591</f>
        <v>6724.4321541058052</v>
      </c>
      <c r="I591" s="32"/>
      <c r="J591" s="32">
        <f>J590*D591</f>
        <v>4031.0573447828879</v>
      </c>
      <c r="K591" s="32"/>
      <c r="L591" s="32">
        <f>L590*D591</f>
        <v>134.15918677207804</v>
      </c>
      <c r="M591" s="32">
        <f>L591+J591+H591</f>
        <v>10889.64868566077</v>
      </c>
      <c r="AB591" s="4" t="s">
        <v>40</v>
      </c>
    </row>
    <row r="592" spans="1:28" x14ac:dyDescent="0.25">
      <c r="A592" s="27" t="s">
        <v>40</v>
      </c>
      <c r="B592" s="9"/>
      <c r="C592" s="9" t="s">
        <v>50</v>
      </c>
      <c r="D592" s="9"/>
      <c r="E592" s="10"/>
      <c r="F592" s="10"/>
      <c r="G592" s="9"/>
      <c r="H592" s="32">
        <f>H590+H591</f>
        <v>44082.388565804722</v>
      </c>
      <c r="I592" s="32"/>
      <c r="J592" s="32">
        <f>J590+J591</f>
        <v>26425.820371354486</v>
      </c>
      <c r="K592" s="32"/>
      <c r="L592" s="32">
        <f>L590+L591</f>
        <v>879.48800217251164</v>
      </c>
      <c r="M592" s="32">
        <f>L592+J592+H592</f>
        <v>71387.696939331712</v>
      </c>
      <c r="AB592" s="4" t="s">
        <v>40</v>
      </c>
    </row>
    <row r="593" spans="28:28" x14ac:dyDescent="0.25">
      <c r="AB593" s="4" t="s">
        <v>40</v>
      </c>
    </row>
    <row r="594" spans="28:28" x14ac:dyDescent="0.25">
      <c r="AB594" s="4" t="s">
        <v>40</v>
      </c>
    </row>
    <row r="595" spans="28:28" x14ac:dyDescent="0.25">
      <c r="AB595" s="4" t="s">
        <v>40</v>
      </c>
    </row>
    <row r="596" spans="28:28" x14ac:dyDescent="0.25">
      <c r="AB596" s="4" t="s">
        <v>40</v>
      </c>
    </row>
    <row r="597" spans="28:28" x14ac:dyDescent="0.25">
      <c r="AB597" s="4" t="s">
        <v>40</v>
      </c>
    </row>
    <row r="598" spans="28:28" x14ac:dyDescent="0.25">
      <c r="AB598" s="4" t="s">
        <v>40</v>
      </c>
    </row>
    <row r="599" spans="28:28" x14ac:dyDescent="0.25">
      <c r="AB599" s="4" t="s">
        <v>40</v>
      </c>
    </row>
    <row r="600" spans="28:28" x14ac:dyDescent="0.25">
      <c r="AB600" s="4" t="s">
        <v>40</v>
      </c>
    </row>
    <row r="601" spans="28:28" x14ac:dyDescent="0.25">
      <c r="AB601" s="4" t="s">
        <v>40</v>
      </c>
    </row>
    <row r="602" spans="28:28" x14ac:dyDescent="0.25">
      <c r="AB602" s="4" t="s">
        <v>40</v>
      </c>
    </row>
    <row r="603" spans="28:28" x14ac:dyDescent="0.25">
      <c r="AB603" s="4" t="s">
        <v>53</v>
      </c>
    </row>
  </sheetData>
  <sheetProtection selectLockedCells="1"/>
  <autoFilter ref="A8:AB603" xr:uid="{00000000-0009-0000-0000-000000000000}"/>
  <mergeCells count="8">
    <mergeCell ref="K4:L5"/>
    <mergeCell ref="D4:D7"/>
    <mergeCell ref="G4:H5"/>
    <mergeCell ref="I4:J5"/>
    <mergeCell ref="A4:A7"/>
    <mergeCell ref="B4:B7"/>
    <mergeCell ref="C4:C7"/>
    <mergeCell ref="E4:F5"/>
  </mergeCells>
  <phoneticPr fontId="26" type="noConversion"/>
  <printOptions horizontalCentered="1"/>
  <pageMargins left="0.25" right="0.1" top="0.25" bottom="0.25" header="0" footer="0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"/>
  <sheetViews>
    <sheetView tabSelected="1" topLeftCell="A64" zoomScale="140" zoomScaleNormal="140" workbookViewId="0">
      <selection sqref="A1:I1"/>
    </sheetView>
  </sheetViews>
  <sheetFormatPr defaultColWidth="9.140625" defaultRowHeight="13.5" x14ac:dyDescent="0.25"/>
  <cols>
    <col min="1" max="1" width="3.7109375" style="158" customWidth="1"/>
    <col min="2" max="2" width="63.7109375" style="157" customWidth="1"/>
    <col min="3" max="3" width="7.7109375" style="158" customWidth="1"/>
    <col min="4" max="5" width="7.7109375" style="161" customWidth="1"/>
    <col min="6" max="6" width="8.7109375" style="161" customWidth="1"/>
    <col min="7" max="7" width="7.7109375" style="161" customWidth="1"/>
    <col min="8" max="8" width="8.7109375" style="161" customWidth="1"/>
    <col min="9" max="9" width="10.7109375" style="161" customWidth="1"/>
    <col min="10" max="16384" width="9.140625" style="156"/>
  </cols>
  <sheetData>
    <row r="1" spans="1:35" s="159" customFormat="1" ht="39.950000000000003" customHeight="1" x14ac:dyDescent="0.25">
      <c r="A1" s="219" t="s">
        <v>375</v>
      </c>
      <c r="B1" s="219"/>
      <c r="C1" s="219"/>
      <c r="D1" s="219"/>
      <c r="E1" s="219"/>
      <c r="F1" s="219"/>
      <c r="G1" s="219"/>
      <c r="H1" s="219"/>
      <c r="I1" s="219"/>
    </row>
    <row r="2" spans="1:35" s="160" customFormat="1" ht="31.5" customHeight="1" x14ac:dyDescent="0.25">
      <c r="A2" s="220"/>
      <c r="B2" s="221" t="s">
        <v>36</v>
      </c>
      <c r="C2" s="222" t="s">
        <v>37</v>
      </c>
      <c r="D2" s="223" t="s">
        <v>318</v>
      </c>
      <c r="E2" s="218" t="s">
        <v>21</v>
      </c>
      <c r="F2" s="218"/>
      <c r="G2" s="218" t="s">
        <v>20</v>
      </c>
      <c r="H2" s="218"/>
      <c r="I2" s="218" t="s">
        <v>22</v>
      </c>
    </row>
    <row r="3" spans="1:35" s="160" customFormat="1" ht="31.5" customHeight="1" x14ac:dyDescent="0.25">
      <c r="A3" s="220"/>
      <c r="B3" s="221"/>
      <c r="C3" s="222"/>
      <c r="D3" s="223"/>
      <c r="E3" s="162" t="s">
        <v>316</v>
      </c>
      <c r="F3" s="162" t="s">
        <v>22</v>
      </c>
      <c r="G3" s="162" t="s">
        <v>316</v>
      </c>
      <c r="H3" s="162" t="s">
        <v>22</v>
      </c>
      <c r="I3" s="218"/>
    </row>
    <row r="4" spans="1:35" s="155" customFormat="1" x14ac:dyDescent="0.25">
      <c r="A4" s="167"/>
      <c r="B4" s="168" t="s">
        <v>313</v>
      </c>
      <c r="C4" s="167"/>
      <c r="D4" s="169"/>
      <c r="E4" s="169"/>
      <c r="F4" s="169"/>
      <c r="G4" s="169"/>
      <c r="H4" s="169"/>
      <c r="I4" s="169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</row>
    <row r="5" spans="1:35" s="166" customFormat="1" ht="27" x14ac:dyDescent="0.25">
      <c r="A5" s="171">
        <v>1</v>
      </c>
      <c r="B5" s="186" t="s">
        <v>333</v>
      </c>
      <c r="C5" s="171" t="s">
        <v>310</v>
      </c>
      <c r="D5" s="172">
        <v>4.95</v>
      </c>
      <c r="E5" s="172">
        <v>0</v>
      </c>
      <c r="F5" s="172">
        <f>D5*E5</f>
        <v>0</v>
      </c>
      <c r="G5" s="172">
        <v>0</v>
      </c>
      <c r="H5" s="172">
        <f>G5*D5</f>
        <v>0</v>
      </c>
      <c r="I5" s="187">
        <f>F5+H5</f>
        <v>0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</row>
    <row r="6" spans="1:35" s="165" customFormat="1" ht="30" customHeight="1" x14ac:dyDescent="0.25">
      <c r="A6" s="171">
        <v>2</v>
      </c>
      <c r="B6" s="186" t="s">
        <v>320</v>
      </c>
      <c r="C6" s="171" t="s">
        <v>310</v>
      </c>
      <c r="D6" s="172">
        <v>14</v>
      </c>
      <c r="E6" s="172">
        <v>0</v>
      </c>
      <c r="F6" s="172">
        <f>E6*D6</f>
        <v>0</v>
      </c>
      <c r="G6" s="172">
        <v>0</v>
      </c>
      <c r="H6" s="172">
        <f t="shared" ref="H6:H29" si="0">G6*D6</f>
        <v>0</v>
      </c>
      <c r="I6" s="187">
        <f t="shared" ref="I6:I25" si="1">F6+H6</f>
        <v>0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</row>
    <row r="7" spans="1:35" ht="40.5" x14ac:dyDescent="0.25">
      <c r="A7" s="171">
        <v>3</v>
      </c>
      <c r="B7" s="186" t="s">
        <v>372</v>
      </c>
      <c r="C7" s="171" t="s">
        <v>310</v>
      </c>
      <c r="D7" s="172">
        <v>166.56</v>
      </c>
      <c r="E7" s="172">
        <v>0</v>
      </c>
      <c r="F7" s="172">
        <f t="shared" ref="F7:F29" si="2">D7*E7</f>
        <v>0</v>
      </c>
      <c r="G7" s="172">
        <v>0</v>
      </c>
      <c r="H7" s="172">
        <f t="shared" si="0"/>
        <v>0</v>
      </c>
      <c r="I7" s="187">
        <f t="shared" si="1"/>
        <v>0</v>
      </c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</row>
    <row r="8" spans="1:35" ht="27" x14ac:dyDescent="0.25">
      <c r="A8" s="171">
        <v>4</v>
      </c>
      <c r="B8" s="186" t="s">
        <v>321</v>
      </c>
      <c r="C8" s="171" t="s">
        <v>310</v>
      </c>
      <c r="D8" s="172">
        <v>57.3</v>
      </c>
      <c r="E8" s="172">
        <v>0</v>
      </c>
      <c r="F8" s="172">
        <f t="shared" si="2"/>
        <v>0</v>
      </c>
      <c r="G8" s="172">
        <v>0</v>
      </c>
      <c r="H8" s="172">
        <f t="shared" si="0"/>
        <v>0</v>
      </c>
      <c r="I8" s="187">
        <f t="shared" si="1"/>
        <v>0</v>
      </c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</row>
    <row r="9" spans="1:35" ht="27" x14ac:dyDescent="0.25">
      <c r="A9" s="171">
        <v>5</v>
      </c>
      <c r="B9" s="186" t="s">
        <v>322</v>
      </c>
      <c r="C9" s="171" t="s">
        <v>312</v>
      </c>
      <c r="D9" s="172">
        <v>14</v>
      </c>
      <c r="E9" s="172">
        <v>0</v>
      </c>
      <c r="F9" s="172">
        <f>E9*D9</f>
        <v>0</v>
      </c>
      <c r="G9" s="172">
        <v>0</v>
      </c>
      <c r="H9" s="172">
        <f t="shared" si="0"/>
        <v>0</v>
      </c>
      <c r="I9" s="187">
        <f t="shared" si="1"/>
        <v>0</v>
      </c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spans="1:35" x14ac:dyDescent="0.25">
      <c r="A10" s="171">
        <v>6</v>
      </c>
      <c r="B10" s="186" t="s">
        <v>334</v>
      </c>
      <c r="C10" s="171" t="s">
        <v>310</v>
      </c>
      <c r="D10" s="172">
        <v>6</v>
      </c>
      <c r="E10" s="172">
        <v>0</v>
      </c>
      <c r="F10" s="172">
        <f t="shared" si="2"/>
        <v>0</v>
      </c>
      <c r="G10" s="172">
        <v>0</v>
      </c>
      <c r="H10" s="172">
        <f t="shared" si="0"/>
        <v>0</v>
      </c>
      <c r="I10" s="187">
        <f t="shared" si="1"/>
        <v>0</v>
      </c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</row>
    <row r="11" spans="1:35" x14ac:dyDescent="0.25">
      <c r="A11" s="171">
        <v>7</v>
      </c>
      <c r="B11" s="186" t="s">
        <v>324</v>
      </c>
      <c r="C11" s="171" t="s">
        <v>310</v>
      </c>
      <c r="D11" s="172">
        <v>6</v>
      </c>
      <c r="E11" s="172">
        <v>0</v>
      </c>
      <c r="F11" s="172">
        <f t="shared" si="2"/>
        <v>0</v>
      </c>
      <c r="G11" s="172">
        <v>0</v>
      </c>
      <c r="H11" s="172">
        <f t="shared" si="0"/>
        <v>0</v>
      </c>
      <c r="I11" s="187">
        <f t="shared" si="1"/>
        <v>0</v>
      </c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</row>
    <row r="12" spans="1:35" ht="27" x14ac:dyDescent="0.25">
      <c r="A12" s="171">
        <v>8</v>
      </c>
      <c r="B12" s="186" t="s">
        <v>325</v>
      </c>
      <c r="C12" s="171" t="s">
        <v>310</v>
      </c>
      <c r="D12" s="172">
        <v>6</v>
      </c>
      <c r="E12" s="172">
        <v>0</v>
      </c>
      <c r="F12" s="172">
        <f t="shared" si="2"/>
        <v>0</v>
      </c>
      <c r="G12" s="172">
        <v>0</v>
      </c>
      <c r="H12" s="172">
        <f t="shared" si="0"/>
        <v>0</v>
      </c>
      <c r="I12" s="187">
        <f t="shared" si="1"/>
        <v>0</v>
      </c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</row>
    <row r="13" spans="1:35" x14ac:dyDescent="0.25">
      <c r="A13" s="171">
        <v>9</v>
      </c>
      <c r="B13" s="186" t="s">
        <v>326</v>
      </c>
      <c r="C13" s="171" t="s">
        <v>327</v>
      </c>
      <c r="D13" s="172">
        <v>2.2000000000000002</v>
      </c>
      <c r="E13" s="172">
        <v>0</v>
      </c>
      <c r="F13" s="172">
        <f t="shared" si="2"/>
        <v>0</v>
      </c>
      <c r="G13" s="172">
        <v>0</v>
      </c>
      <c r="H13" s="172">
        <f t="shared" si="0"/>
        <v>0</v>
      </c>
      <c r="I13" s="187">
        <f t="shared" si="1"/>
        <v>0</v>
      </c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</row>
    <row r="14" spans="1:35" ht="27" x14ac:dyDescent="0.25">
      <c r="A14" s="171">
        <v>10</v>
      </c>
      <c r="B14" s="186" t="s">
        <v>328</v>
      </c>
      <c r="C14" s="171" t="s">
        <v>327</v>
      </c>
      <c r="D14" s="172">
        <v>0.38</v>
      </c>
      <c r="E14" s="172">
        <v>0</v>
      </c>
      <c r="F14" s="172">
        <f t="shared" si="2"/>
        <v>0</v>
      </c>
      <c r="G14" s="172">
        <v>0</v>
      </c>
      <c r="H14" s="172">
        <f t="shared" si="0"/>
        <v>0</v>
      </c>
      <c r="I14" s="187">
        <f t="shared" si="1"/>
        <v>0</v>
      </c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</row>
    <row r="15" spans="1:35" x14ac:dyDescent="0.25">
      <c r="A15" s="171">
        <v>11</v>
      </c>
      <c r="B15" s="186" t="s">
        <v>329</v>
      </c>
      <c r="C15" s="171" t="s">
        <v>310</v>
      </c>
      <c r="D15" s="172">
        <v>3.15</v>
      </c>
      <c r="E15" s="172">
        <v>0</v>
      </c>
      <c r="F15" s="172">
        <f t="shared" si="2"/>
        <v>0</v>
      </c>
      <c r="G15" s="172">
        <v>0</v>
      </c>
      <c r="H15" s="172">
        <f t="shared" si="0"/>
        <v>0</v>
      </c>
      <c r="I15" s="187">
        <f t="shared" si="1"/>
        <v>0</v>
      </c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</row>
    <row r="16" spans="1:35" ht="27" x14ac:dyDescent="0.25">
      <c r="A16" s="171">
        <v>12</v>
      </c>
      <c r="B16" s="186" t="s">
        <v>335</v>
      </c>
      <c r="C16" s="171" t="s">
        <v>330</v>
      </c>
      <c r="D16" s="172">
        <v>57.3</v>
      </c>
      <c r="E16" s="172">
        <v>0</v>
      </c>
      <c r="F16" s="172">
        <f t="shared" si="2"/>
        <v>0</v>
      </c>
      <c r="G16" s="172">
        <v>0</v>
      </c>
      <c r="H16" s="172">
        <f t="shared" si="0"/>
        <v>0</v>
      </c>
      <c r="I16" s="187">
        <f t="shared" si="1"/>
        <v>0</v>
      </c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</row>
    <row r="17" spans="1:35" x14ac:dyDescent="0.25">
      <c r="A17" s="171">
        <v>13</v>
      </c>
      <c r="B17" s="186" t="s">
        <v>336</v>
      </c>
      <c r="C17" s="171" t="s">
        <v>330</v>
      </c>
      <c r="D17" s="172">
        <v>57.3</v>
      </c>
      <c r="E17" s="172">
        <v>0</v>
      </c>
      <c r="F17" s="172">
        <f t="shared" si="2"/>
        <v>0</v>
      </c>
      <c r="G17" s="172">
        <v>0</v>
      </c>
      <c r="H17" s="172">
        <f t="shared" si="0"/>
        <v>0</v>
      </c>
      <c r="I17" s="187">
        <f t="shared" si="1"/>
        <v>0</v>
      </c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</row>
    <row r="18" spans="1:35" x14ac:dyDescent="0.25">
      <c r="A18" s="171">
        <v>14</v>
      </c>
      <c r="B18" s="186" t="s">
        <v>337</v>
      </c>
      <c r="C18" s="171" t="s">
        <v>331</v>
      </c>
      <c r="D18" s="172">
        <v>1</v>
      </c>
      <c r="E18" s="172">
        <v>0</v>
      </c>
      <c r="F18" s="172">
        <f t="shared" si="2"/>
        <v>0</v>
      </c>
      <c r="G18" s="172">
        <v>0</v>
      </c>
      <c r="H18" s="172">
        <f t="shared" si="0"/>
        <v>0</v>
      </c>
      <c r="I18" s="187">
        <f t="shared" si="1"/>
        <v>0</v>
      </c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</row>
    <row r="19" spans="1:35" x14ac:dyDescent="0.25">
      <c r="A19" s="171">
        <v>15</v>
      </c>
      <c r="B19" s="186" t="s">
        <v>332</v>
      </c>
      <c r="C19" s="171" t="s">
        <v>331</v>
      </c>
      <c r="D19" s="172">
        <v>3</v>
      </c>
      <c r="E19" s="172">
        <v>0</v>
      </c>
      <c r="F19" s="172">
        <f t="shared" si="2"/>
        <v>0</v>
      </c>
      <c r="G19" s="172">
        <v>0</v>
      </c>
      <c r="H19" s="172">
        <f t="shared" si="0"/>
        <v>0</v>
      </c>
      <c r="I19" s="187">
        <f t="shared" si="1"/>
        <v>0</v>
      </c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</row>
    <row r="20" spans="1:35" x14ac:dyDescent="0.25">
      <c r="A20" s="171">
        <v>16</v>
      </c>
      <c r="B20" s="186" t="s">
        <v>338</v>
      </c>
      <c r="C20" s="171" t="s">
        <v>331</v>
      </c>
      <c r="D20" s="172">
        <v>5</v>
      </c>
      <c r="E20" s="172">
        <v>0</v>
      </c>
      <c r="F20" s="172">
        <f t="shared" si="2"/>
        <v>0</v>
      </c>
      <c r="G20" s="172">
        <v>0</v>
      </c>
      <c r="H20" s="172">
        <f t="shared" si="0"/>
        <v>0</v>
      </c>
      <c r="I20" s="187">
        <f t="shared" si="1"/>
        <v>0</v>
      </c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</row>
    <row r="21" spans="1:35" ht="27" x14ac:dyDescent="0.25">
      <c r="A21" s="171">
        <v>17</v>
      </c>
      <c r="B21" s="186" t="s">
        <v>340</v>
      </c>
      <c r="C21" s="171" t="s">
        <v>323</v>
      </c>
      <c r="D21" s="172">
        <v>52</v>
      </c>
      <c r="E21" s="172">
        <v>0</v>
      </c>
      <c r="F21" s="172">
        <f t="shared" si="2"/>
        <v>0</v>
      </c>
      <c r="G21" s="172">
        <v>0</v>
      </c>
      <c r="H21" s="172">
        <f t="shared" si="0"/>
        <v>0</v>
      </c>
      <c r="I21" s="187">
        <f t="shared" si="1"/>
        <v>0</v>
      </c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</row>
    <row r="22" spans="1:35" x14ac:dyDescent="0.25">
      <c r="A22" s="171">
        <v>18</v>
      </c>
      <c r="B22" s="198" t="s">
        <v>374</v>
      </c>
      <c r="C22" s="171" t="s">
        <v>323</v>
      </c>
      <c r="D22" s="172">
        <v>100</v>
      </c>
      <c r="E22" s="172">
        <v>0</v>
      </c>
      <c r="F22" s="172">
        <f t="shared" si="2"/>
        <v>0</v>
      </c>
      <c r="G22" s="172">
        <v>0</v>
      </c>
      <c r="H22" s="172">
        <f t="shared" si="0"/>
        <v>0</v>
      </c>
      <c r="I22" s="187">
        <f>F22+H22</f>
        <v>0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</row>
    <row r="23" spans="1:35" x14ac:dyDescent="0.25">
      <c r="A23" s="171">
        <v>19</v>
      </c>
      <c r="B23" s="186" t="s">
        <v>344</v>
      </c>
      <c r="C23" s="171" t="s">
        <v>330</v>
      </c>
      <c r="D23" s="172">
        <v>1.76</v>
      </c>
      <c r="E23" s="194"/>
      <c r="F23" s="194"/>
      <c r="G23" s="172">
        <v>0</v>
      </c>
      <c r="H23" s="172">
        <f t="shared" si="0"/>
        <v>0</v>
      </c>
      <c r="I23" s="187">
        <f t="shared" si="1"/>
        <v>0</v>
      </c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</row>
    <row r="24" spans="1:35" x14ac:dyDescent="0.25">
      <c r="A24" s="171">
        <v>20</v>
      </c>
      <c r="B24" s="186" t="s">
        <v>345</v>
      </c>
      <c r="C24" s="171" t="s">
        <v>330</v>
      </c>
      <c r="D24" s="172">
        <v>1.76</v>
      </c>
      <c r="E24" s="172">
        <v>0</v>
      </c>
      <c r="F24" s="172">
        <f>E24*D24</f>
        <v>0</v>
      </c>
      <c r="G24" s="172">
        <v>0</v>
      </c>
      <c r="H24" s="172">
        <f t="shared" si="0"/>
        <v>0</v>
      </c>
      <c r="I24" s="187">
        <f t="shared" si="1"/>
        <v>0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</row>
    <row r="25" spans="1:35" x14ac:dyDescent="0.25">
      <c r="A25" s="171">
        <v>21</v>
      </c>
      <c r="B25" s="186" t="s">
        <v>341</v>
      </c>
      <c r="C25" s="171" t="s">
        <v>331</v>
      </c>
      <c r="D25" s="172">
        <v>2</v>
      </c>
      <c r="E25" s="172">
        <v>0</v>
      </c>
      <c r="F25" s="172">
        <f t="shared" si="2"/>
        <v>0</v>
      </c>
      <c r="G25" s="172">
        <v>0</v>
      </c>
      <c r="H25" s="172">
        <f t="shared" si="0"/>
        <v>0</v>
      </c>
      <c r="I25" s="187">
        <f t="shared" si="1"/>
        <v>0</v>
      </c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</row>
    <row r="26" spans="1:35" x14ac:dyDescent="0.25">
      <c r="A26" s="171"/>
      <c r="B26" s="168" t="s">
        <v>339</v>
      </c>
      <c r="C26" s="171"/>
      <c r="D26" s="172"/>
      <c r="E26" s="172"/>
      <c r="F26" s="172"/>
      <c r="G26" s="172"/>
      <c r="H26" s="172"/>
      <c r="I26" s="187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</row>
    <row r="27" spans="1:35" ht="33" customHeight="1" x14ac:dyDescent="0.25">
      <c r="A27" s="171">
        <v>1</v>
      </c>
      <c r="B27" s="186" t="s">
        <v>319</v>
      </c>
      <c r="C27" s="171" t="s">
        <v>310</v>
      </c>
      <c r="D27" s="172">
        <v>76</v>
      </c>
      <c r="E27" s="172">
        <v>0</v>
      </c>
      <c r="F27" s="172">
        <f t="shared" ref="F27:F28" si="3">D27*E27</f>
        <v>0</v>
      </c>
      <c r="G27" s="172">
        <v>0</v>
      </c>
      <c r="H27" s="172">
        <f t="shared" ref="H27:H28" si="4">G27*D27</f>
        <v>0</v>
      </c>
      <c r="I27" s="187">
        <f>F27+H27</f>
        <v>0</v>
      </c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</row>
    <row r="28" spans="1:35" ht="27" x14ac:dyDescent="0.25">
      <c r="A28" s="171">
        <v>2</v>
      </c>
      <c r="B28" s="186" t="s">
        <v>321</v>
      </c>
      <c r="C28" s="171" t="s">
        <v>310</v>
      </c>
      <c r="D28" s="172">
        <v>8.1</v>
      </c>
      <c r="E28" s="172">
        <v>0</v>
      </c>
      <c r="F28" s="172">
        <f t="shared" si="3"/>
        <v>0</v>
      </c>
      <c r="G28" s="172">
        <v>0</v>
      </c>
      <c r="H28" s="172">
        <f t="shared" si="4"/>
        <v>0</v>
      </c>
      <c r="I28" s="187">
        <f t="shared" ref="I28:I35" si="5">F28+H28</f>
        <v>0</v>
      </c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</row>
    <row r="29" spans="1:35" ht="27" x14ac:dyDescent="0.25">
      <c r="A29" s="171">
        <v>3</v>
      </c>
      <c r="B29" s="186" t="s">
        <v>342</v>
      </c>
      <c r="C29" s="171" t="s">
        <v>310</v>
      </c>
      <c r="D29" s="172">
        <v>29.4</v>
      </c>
      <c r="E29" s="172">
        <v>0</v>
      </c>
      <c r="F29" s="172">
        <f t="shared" si="2"/>
        <v>0</v>
      </c>
      <c r="G29" s="172">
        <v>0</v>
      </c>
      <c r="H29" s="172">
        <f t="shared" si="0"/>
        <v>0</v>
      </c>
      <c r="I29" s="187">
        <f t="shared" si="5"/>
        <v>0</v>
      </c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</row>
    <row r="30" spans="1:35" ht="28.5" customHeight="1" x14ac:dyDescent="0.25">
      <c r="A30" s="171">
        <v>4</v>
      </c>
      <c r="B30" s="186" t="s">
        <v>320</v>
      </c>
      <c r="C30" s="171" t="s">
        <v>310</v>
      </c>
      <c r="D30" s="172">
        <v>1.76</v>
      </c>
      <c r="E30" s="172">
        <v>0</v>
      </c>
      <c r="F30" s="172">
        <f>E30*D30</f>
        <v>0</v>
      </c>
      <c r="G30" s="172">
        <v>0</v>
      </c>
      <c r="H30" s="172">
        <f t="shared" ref="H30:H35" si="6">G30*D30</f>
        <v>0</v>
      </c>
      <c r="I30" s="187">
        <f t="shared" si="5"/>
        <v>0</v>
      </c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</row>
    <row r="31" spans="1:35" ht="27" x14ac:dyDescent="0.25">
      <c r="A31" s="171">
        <v>5</v>
      </c>
      <c r="B31" s="186" t="s">
        <v>335</v>
      </c>
      <c r="C31" s="171" t="s">
        <v>330</v>
      </c>
      <c r="D31" s="172">
        <v>6.87</v>
      </c>
      <c r="E31" s="172">
        <v>0</v>
      </c>
      <c r="F31" s="172">
        <f t="shared" ref="F31:F35" si="7">D31*E31</f>
        <v>0</v>
      </c>
      <c r="G31" s="172">
        <v>0</v>
      </c>
      <c r="H31" s="172">
        <f t="shared" si="6"/>
        <v>0</v>
      </c>
      <c r="I31" s="187">
        <f t="shared" si="5"/>
        <v>0</v>
      </c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</row>
    <row r="32" spans="1:35" ht="27" x14ac:dyDescent="0.25">
      <c r="A32" s="171">
        <v>6</v>
      </c>
      <c r="B32" s="186" t="s">
        <v>343</v>
      </c>
      <c r="C32" s="171" t="s">
        <v>330</v>
      </c>
      <c r="D32" s="172">
        <v>7</v>
      </c>
      <c r="E32" s="172">
        <v>0</v>
      </c>
      <c r="F32" s="172">
        <f t="shared" si="7"/>
        <v>0</v>
      </c>
      <c r="G32" s="172">
        <v>0</v>
      </c>
      <c r="H32" s="172">
        <f t="shared" si="6"/>
        <v>0</v>
      </c>
      <c r="I32" s="187">
        <f t="shared" si="5"/>
        <v>0</v>
      </c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</row>
    <row r="33" spans="1:35" ht="27" x14ac:dyDescent="0.25">
      <c r="A33" s="171">
        <v>7</v>
      </c>
      <c r="B33" s="186" t="s">
        <v>322</v>
      </c>
      <c r="C33" s="171" t="s">
        <v>312</v>
      </c>
      <c r="D33" s="172">
        <v>2</v>
      </c>
      <c r="E33" s="172">
        <v>0</v>
      </c>
      <c r="F33" s="172">
        <f t="shared" si="7"/>
        <v>0</v>
      </c>
      <c r="G33" s="172">
        <v>0</v>
      </c>
      <c r="H33" s="172">
        <f t="shared" si="6"/>
        <v>0</v>
      </c>
      <c r="I33" s="187">
        <f t="shared" si="5"/>
        <v>0</v>
      </c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</row>
    <row r="34" spans="1:35" ht="27" x14ac:dyDescent="0.25">
      <c r="A34" s="171">
        <v>8</v>
      </c>
      <c r="B34" s="186" t="s">
        <v>340</v>
      </c>
      <c r="C34" s="171" t="s">
        <v>323</v>
      </c>
      <c r="D34" s="172">
        <v>12</v>
      </c>
      <c r="E34" s="172">
        <v>0</v>
      </c>
      <c r="F34" s="172">
        <f t="shared" si="7"/>
        <v>0</v>
      </c>
      <c r="G34" s="172">
        <v>0</v>
      </c>
      <c r="H34" s="172">
        <f t="shared" si="6"/>
        <v>0</v>
      </c>
      <c r="I34" s="187">
        <f t="shared" si="5"/>
        <v>0</v>
      </c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</row>
    <row r="35" spans="1:35" x14ac:dyDescent="0.25">
      <c r="A35" s="171">
        <v>9</v>
      </c>
      <c r="B35" s="186" t="s">
        <v>338</v>
      </c>
      <c r="C35" s="171" t="s">
        <v>331</v>
      </c>
      <c r="D35" s="172">
        <v>1</v>
      </c>
      <c r="E35" s="172">
        <v>0</v>
      </c>
      <c r="F35" s="172">
        <f t="shared" si="7"/>
        <v>0</v>
      </c>
      <c r="G35" s="172">
        <v>0</v>
      </c>
      <c r="H35" s="172">
        <f t="shared" si="6"/>
        <v>0</v>
      </c>
      <c r="I35" s="187">
        <f t="shared" si="5"/>
        <v>0</v>
      </c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</row>
    <row r="36" spans="1:35" x14ac:dyDescent="0.25">
      <c r="A36" s="171"/>
      <c r="B36" s="168" t="s">
        <v>346</v>
      </c>
      <c r="C36" s="171"/>
      <c r="D36" s="172"/>
      <c r="E36" s="172"/>
      <c r="F36" s="172"/>
      <c r="G36" s="172"/>
      <c r="H36" s="172"/>
      <c r="I36" s="187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</row>
    <row r="37" spans="1:35" x14ac:dyDescent="0.25">
      <c r="A37" s="193">
        <v>1</v>
      </c>
      <c r="B37" s="196" t="s">
        <v>347</v>
      </c>
      <c r="C37" s="188" t="s">
        <v>348</v>
      </c>
      <c r="D37" s="189">
        <v>1</v>
      </c>
      <c r="E37" s="195"/>
      <c r="F37" s="195"/>
      <c r="G37" s="190">
        <v>0</v>
      </c>
      <c r="H37" s="190">
        <f>D37*G37</f>
        <v>0</v>
      </c>
      <c r="I37" s="190">
        <f>G37+E37</f>
        <v>0</v>
      </c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</row>
    <row r="38" spans="1:35" x14ac:dyDescent="0.25">
      <c r="A38" s="193">
        <v>2</v>
      </c>
      <c r="B38" s="196" t="s">
        <v>349</v>
      </c>
      <c r="C38" s="188" t="s">
        <v>348</v>
      </c>
      <c r="D38" s="189">
        <v>1</v>
      </c>
      <c r="E38" s="195"/>
      <c r="F38" s="195"/>
      <c r="G38" s="190">
        <v>0</v>
      </c>
      <c r="H38" s="190">
        <f>D38*G38</f>
        <v>0</v>
      </c>
      <c r="I38" s="190">
        <f t="shared" ref="I38:I55" si="8">G38+E38</f>
        <v>0</v>
      </c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</row>
    <row r="39" spans="1:35" x14ac:dyDescent="0.25">
      <c r="A39" s="193">
        <v>3</v>
      </c>
      <c r="B39" s="197" t="s">
        <v>350</v>
      </c>
      <c r="C39" s="191" t="s">
        <v>327</v>
      </c>
      <c r="D39" s="192">
        <v>0.56000000000000005</v>
      </c>
      <c r="E39" s="194"/>
      <c r="F39" s="194"/>
      <c r="G39" s="190">
        <v>0</v>
      </c>
      <c r="H39" s="192">
        <f t="shared" ref="H39:H55" si="9">G39*D39</f>
        <v>0</v>
      </c>
      <c r="I39" s="190">
        <f t="shared" si="8"/>
        <v>0</v>
      </c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</row>
    <row r="40" spans="1:35" x14ac:dyDescent="0.25">
      <c r="A40" s="193">
        <v>4</v>
      </c>
      <c r="B40" s="197" t="s">
        <v>351</v>
      </c>
      <c r="C40" s="191" t="s">
        <v>330</v>
      </c>
      <c r="D40" s="192">
        <v>15.9</v>
      </c>
      <c r="E40" s="194"/>
      <c r="F40" s="194"/>
      <c r="G40" s="190">
        <v>0</v>
      </c>
      <c r="H40" s="192">
        <f t="shared" si="9"/>
        <v>0</v>
      </c>
      <c r="I40" s="190">
        <f t="shared" si="8"/>
        <v>0</v>
      </c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</row>
    <row r="41" spans="1:35" x14ac:dyDescent="0.25">
      <c r="A41" s="193">
        <v>5</v>
      </c>
      <c r="B41" s="197" t="s">
        <v>352</v>
      </c>
      <c r="C41" s="191" t="s">
        <v>330</v>
      </c>
      <c r="D41" s="192">
        <v>15.9</v>
      </c>
      <c r="E41" s="192">
        <v>0</v>
      </c>
      <c r="F41" s="192">
        <f t="shared" ref="F41:F55" si="10">D41*E41</f>
        <v>0</v>
      </c>
      <c r="G41" s="190">
        <v>0</v>
      </c>
      <c r="H41" s="192">
        <f t="shared" si="9"/>
        <v>0</v>
      </c>
      <c r="I41" s="190">
        <f t="shared" si="8"/>
        <v>0</v>
      </c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</row>
    <row r="42" spans="1:35" ht="27" x14ac:dyDescent="0.25">
      <c r="A42" s="193">
        <v>6</v>
      </c>
      <c r="B42" s="197" t="s">
        <v>353</v>
      </c>
      <c r="C42" s="191" t="s">
        <v>310</v>
      </c>
      <c r="D42" s="192">
        <v>15.9</v>
      </c>
      <c r="E42" s="192">
        <v>0</v>
      </c>
      <c r="F42" s="192">
        <f t="shared" si="10"/>
        <v>0</v>
      </c>
      <c r="G42" s="190">
        <v>0</v>
      </c>
      <c r="H42" s="192">
        <f t="shared" si="9"/>
        <v>0</v>
      </c>
      <c r="I42" s="190">
        <f t="shared" si="8"/>
        <v>0</v>
      </c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</row>
    <row r="43" spans="1:35" x14ac:dyDescent="0.25">
      <c r="A43" s="193">
        <v>7</v>
      </c>
      <c r="B43" s="197" t="s">
        <v>354</v>
      </c>
      <c r="C43" s="191" t="s">
        <v>310</v>
      </c>
      <c r="D43" s="192">
        <v>2.94</v>
      </c>
      <c r="E43" s="192">
        <v>0</v>
      </c>
      <c r="F43" s="192">
        <f t="shared" si="10"/>
        <v>0</v>
      </c>
      <c r="G43" s="190">
        <v>0</v>
      </c>
      <c r="H43" s="192">
        <f t="shared" si="9"/>
        <v>0</v>
      </c>
      <c r="I43" s="190">
        <f t="shared" si="8"/>
        <v>0</v>
      </c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</row>
    <row r="44" spans="1:35" x14ac:dyDescent="0.25">
      <c r="A44" s="193">
        <v>8</v>
      </c>
      <c r="B44" s="197" t="s">
        <v>355</v>
      </c>
      <c r="C44" s="191" t="s">
        <v>310</v>
      </c>
      <c r="D44" s="192">
        <v>2.94</v>
      </c>
      <c r="E44" s="192">
        <v>0</v>
      </c>
      <c r="F44" s="192">
        <f t="shared" si="10"/>
        <v>0</v>
      </c>
      <c r="G44" s="190">
        <v>0</v>
      </c>
      <c r="H44" s="192">
        <f t="shared" si="9"/>
        <v>0</v>
      </c>
      <c r="I44" s="190">
        <f t="shared" si="8"/>
        <v>0</v>
      </c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</row>
    <row r="45" spans="1:35" x14ac:dyDescent="0.25">
      <c r="A45" s="193">
        <v>9</v>
      </c>
      <c r="B45" s="197" t="s">
        <v>356</v>
      </c>
      <c r="C45" s="191" t="s">
        <v>312</v>
      </c>
      <c r="D45" s="192">
        <v>1</v>
      </c>
      <c r="E45" s="192">
        <v>0</v>
      </c>
      <c r="F45" s="192">
        <f t="shared" si="10"/>
        <v>0</v>
      </c>
      <c r="G45" s="190">
        <v>0</v>
      </c>
      <c r="H45" s="192">
        <f t="shared" si="9"/>
        <v>0</v>
      </c>
      <c r="I45" s="190">
        <f t="shared" si="8"/>
        <v>0</v>
      </c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</row>
    <row r="46" spans="1:35" x14ac:dyDescent="0.25">
      <c r="A46" s="193">
        <v>10</v>
      </c>
      <c r="B46" s="197" t="s">
        <v>357</v>
      </c>
      <c r="C46" s="191" t="s">
        <v>312</v>
      </c>
      <c r="D46" s="192">
        <v>1</v>
      </c>
      <c r="E46" s="192">
        <v>0</v>
      </c>
      <c r="F46" s="192">
        <f t="shared" si="10"/>
        <v>0</v>
      </c>
      <c r="G46" s="190">
        <v>0</v>
      </c>
      <c r="H46" s="192">
        <f t="shared" si="9"/>
        <v>0</v>
      </c>
      <c r="I46" s="190">
        <f t="shared" si="8"/>
        <v>0</v>
      </c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</row>
    <row r="47" spans="1:35" x14ac:dyDescent="0.25">
      <c r="A47" s="193">
        <v>11</v>
      </c>
      <c r="B47" s="197" t="s">
        <v>358</v>
      </c>
      <c r="C47" s="191" t="s">
        <v>312</v>
      </c>
      <c r="D47" s="192">
        <v>1</v>
      </c>
      <c r="E47" s="192">
        <v>0</v>
      </c>
      <c r="F47" s="192">
        <f t="shared" si="10"/>
        <v>0</v>
      </c>
      <c r="G47" s="190">
        <v>0</v>
      </c>
      <c r="H47" s="192">
        <f t="shared" si="9"/>
        <v>0</v>
      </c>
      <c r="I47" s="190">
        <f t="shared" si="8"/>
        <v>0</v>
      </c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</row>
    <row r="48" spans="1:35" x14ac:dyDescent="0.25">
      <c r="A48" s="193">
        <v>12</v>
      </c>
      <c r="B48" s="197" t="s">
        <v>359</v>
      </c>
      <c r="C48" s="191" t="s">
        <v>312</v>
      </c>
      <c r="D48" s="192">
        <v>1</v>
      </c>
      <c r="E48" s="192">
        <v>0</v>
      </c>
      <c r="F48" s="192">
        <f t="shared" si="10"/>
        <v>0</v>
      </c>
      <c r="G48" s="190">
        <v>0</v>
      </c>
      <c r="H48" s="192">
        <f t="shared" si="9"/>
        <v>0</v>
      </c>
      <c r="I48" s="190">
        <f t="shared" si="8"/>
        <v>0</v>
      </c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</row>
    <row r="49" spans="1:35" x14ac:dyDescent="0.25">
      <c r="A49" s="193">
        <v>13</v>
      </c>
      <c r="B49" s="197" t="s">
        <v>360</v>
      </c>
      <c r="C49" s="191" t="s">
        <v>310</v>
      </c>
      <c r="D49" s="192">
        <v>2.94</v>
      </c>
      <c r="E49" s="192">
        <v>0</v>
      </c>
      <c r="F49" s="192">
        <f t="shared" si="10"/>
        <v>0</v>
      </c>
      <c r="G49" s="190">
        <v>0</v>
      </c>
      <c r="H49" s="192">
        <f t="shared" si="9"/>
        <v>0</v>
      </c>
      <c r="I49" s="190">
        <f t="shared" si="8"/>
        <v>0</v>
      </c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</row>
    <row r="50" spans="1:35" x14ac:dyDescent="0.25">
      <c r="A50" s="193">
        <v>14</v>
      </c>
      <c r="B50" s="197" t="s">
        <v>361</v>
      </c>
      <c r="C50" s="191" t="s">
        <v>310</v>
      </c>
      <c r="D50" s="192">
        <v>2.94</v>
      </c>
      <c r="E50" s="192">
        <v>0</v>
      </c>
      <c r="F50" s="192">
        <f t="shared" si="10"/>
        <v>0</v>
      </c>
      <c r="G50" s="190">
        <v>0</v>
      </c>
      <c r="H50" s="192">
        <f t="shared" si="9"/>
        <v>0</v>
      </c>
      <c r="I50" s="190">
        <f t="shared" si="8"/>
        <v>0</v>
      </c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</row>
    <row r="51" spans="1:35" x14ac:dyDescent="0.25">
      <c r="A51" s="193">
        <v>15</v>
      </c>
      <c r="B51" s="197" t="s">
        <v>362</v>
      </c>
      <c r="C51" s="191" t="s">
        <v>312</v>
      </c>
      <c r="D51" s="192">
        <v>1</v>
      </c>
      <c r="E51" s="192">
        <v>0</v>
      </c>
      <c r="F51" s="192">
        <f t="shared" si="10"/>
        <v>0</v>
      </c>
      <c r="G51" s="190">
        <v>0</v>
      </c>
      <c r="H51" s="192">
        <f t="shared" si="9"/>
        <v>0</v>
      </c>
      <c r="I51" s="190">
        <f t="shared" si="8"/>
        <v>0</v>
      </c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</row>
    <row r="52" spans="1:35" x14ac:dyDescent="0.25">
      <c r="A52" s="193">
        <v>16</v>
      </c>
      <c r="B52" s="197" t="s">
        <v>365</v>
      </c>
      <c r="C52" s="191" t="s">
        <v>330</v>
      </c>
      <c r="D52" s="192">
        <v>1.76</v>
      </c>
      <c r="E52" s="192">
        <v>0</v>
      </c>
      <c r="F52" s="192">
        <f t="shared" si="10"/>
        <v>0</v>
      </c>
      <c r="G52" s="190">
        <v>0</v>
      </c>
      <c r="H52" s="192">
        <f t="shared" si="9"/>
        <v>0</v>
      </c>
      <c r="I52" s="190">
        <f t="shared" si="8"/>
        <v>0</v>
      </c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</row>
    <row r="53" spans="1:35" x14ac:dyDescent="0.25">
      <c r="A53" s="193">
        <v>17</v>
      </c>
      <c r="B53" s="197" t="s">
        <v>366</v>
      </c>
      <c r="C53" s="191" t="s">
        <v>330</v>
      </c>
      <c r="D53" s="192">
        <v>1.76</v>
      </c>
      <c r="E53" s="192">
        <v>0</v>
      </c>
      <c r="F53" s="192">
        <f t="shared" si="10"/>
        <v>0</v>
      </c>
      <c r="G53" s="190">
        <v>0</v>
      </c>
      <c r="H53" s="192">
        <f t="shared" si="9"/>
        <v>0</v>
      </c>
      <c r="I53" s="190">
        <f t="shared" si="8"/>
        <v>0</v>
      </c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</row>
    <row r="54" spans="1:35" x14ac:dyDescent="0.25">
      <c r="A54" s="193">
        <v>18</v>
      </c>
      <c r="B54" s="197" t="s">
        <v>363</v>
      </c>
      <c r="C54" s="191" t="s">
        <v>364</v>
      </c>
      <c r="D54" s="192">
        <v>1.32</v>
      </c>
      <c r="E54" s="194"/>
      <c r="F54" s="194"/>
      <c r="G54" s="190">
        <v>0</v>
      </c>
      <c r="H54" s="192">
        <f t="shared" si="9"/>
        <v>0</v>
      </c>
      <c r="I54" s="190">
        <f t="shared" si="8"/>
        <v>0</v>
      </c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</row>
    <row r="55" spans="1:35" x14ac:dyDescent="0.25">
      <c r="A55" s="171">
        <v>19</v>
      </c>
      <c r="B55" s="186" t="s">
        <v>338</v>
      </c>
      <c r="C55" s="171" t="s">
        <v>331</v>
      </c>
      <c r="D55" s="172">
        <v>1</v>
      </c>
      <c r="E55" s="172">
        <v>0</v>
      </c>
      <c r="F55" s="172">
        <f t="shared" si="10"/>
        <v>0</v>
      </c>
      <c r="G55" s="190">
        <v>0</v>
      </c>
      <c r="H55" s="172">
        <f t="shared" si="9"/>
        <v>0</v>
      </c>
      <c r="I55" s="190">
        <f t="shared" si="8"/>
        <v>0</v>
      </c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</row>
    <row r="56" spans="1:35" x14ac:dyDescent="0.25">
      <c r="A56" s="171"/>
      <c r="B56" s="168" t="s">
        <v>368</v>
      </c>
      <c r="C56" s="171"/>
      <c r="D56" s="172"/>
      <c r="E56" s="172"/>
      <c r="F56" s="172"/>
      <c r="G56" s="172"/>
      <c r="H56" s="172"/>
      <c r="I56" s="187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</row>
    <row r="57" spans="1:35" ht="27" x14ac:dyDescent="0.25">
      <c r="A57" s="171">
        <v>1</v>
      </c>
      <c r="B57" s="186" t="s">
        <v>371</v>
      </c>
      <c r="C57" s="171" t="s">
        <v>331</v>
      </c>
      <c r="D57" s="172">
        <v>1</v>
      </c>
      <c r="E57" s="172">
        <v>0</v>
      </c>
      <c r="F57" s="172">
        <f>D57*E57</f>
        <v>0</v>
      </c>
      <c r="G57" s="172">
        <v>0</v>
      </c>
      <c r="H57" s="172">
        <f>D570</f>
        <v>0</v>
      </c>
      <c r="I57" s="187">
        <f>F57+H57</f>
        <v>0</v>
      </c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</row>
    <row r="58" spans="1:35" ht="54" x14ac:dyDescent="0.25">
      <c r="A58" s="191">
        <v>2</v>
      </c>
      <c r="B58" s="197" t="s">
        <v>373</v>
      </c>
      <c r="C58" s="191" t="s">
        <v>331</v>
      </c>
      <c r="D58" s="192">
        <v>2</v>
      </c>
      <c r="E58" s="192">
        <v>0</v>
      </c>
      <c r="F58" s="192">
        <f>D58*E58</f>
        <v>0</v>
      </c>
      <c r="G58" s="192">
        <v>0</v>
      </c>
      <c r="H58" s="192">
        <f>D571</f>
        <v>0</v>
      </c>
      <c r="I58" s="199">
        <f>F58+H58</f>
        <v>0</v>
      </c>
    </row>
    <row r="59" spans="1:35" x14ac:dyDescent="0.25">
      <c r="A59" s="171">
        <v>3</v>
      </c>
      <c r="B59" s="186" t="s">
        <v>369</v>
      </c>
      <c r="C59" s="171" t="s">
        <v>331</v>
      </c>
      <c r="D59" s="172">
        <v>8</v>
      </c>
      <c r="E59" s="172">
        <v>0</v>
      </c>
      <c r="F59" s="172">
        <f>E59*D59</f>
        <v>0</v>
      </c>
      <c r="G59" s="172">
        <v>0</v>
      </c>
      <c r="H59" s="172">
        <f>G59*D59</f>
        <v>0</v>
      </c>
      <c r="I59" s="187">
        <f>H59+F59</f>
        <v>0</v>
      </c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</row>
    <row r="60" spans="1:35" x14ac:dyDescent="0.25">
      <c r="A60" s="171">
        <v>4</v>
      </c>
      <c r="B60" s="186" t="s">
        <v>370</v>
      </c>
      <c r="C60" s="171" t="s">
        <v>330</v>
      </c>
      <c r="D60" s="172">
        <v>30.1</v>
      </c>
      <c r="E60" s="172">
        <v>0</v>
      </c>
      <c r="F60" s="172">
        <f>E60*D60</f>
        <v>0</v>
      </c>
      <c r="G60" s="172">
        <v>0</v>
      </c>
      <c r="H60" s="172">
        <f>G60*D60</f>
        <v>0</v>
      </c>
      <c r="I60" s="187">
        <f>H60+F60</f>
        <v>0</v>
      </c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</row>
    <row r="61" spans="1:35" s="165" customFormat="1" x14ac:dyDescent="0.25">
      <c r="A61" s="171"/>
      <c r="B61" s="168" t="s">
        <v>314</v>
      </c>
      <c r="C61" s="167"/>
      <c r="D61" s="169"/>
      <c r="E61" s="169"/>
      <c r="F61" s="174"/>
      <c r="G61" s="174"/>
      <c r="H61" s="174"/>
      <c r="I61" s="174">
        <f>I60+I59+I56+I55+I54+I53+I52+I51+I50+I49+I48+I47+I46+I45+I44+I43+I42+I41+I40+I39+I38+I37+I36+I35+I34+I33+I32+I31+I30+I29+I28+I27+I26+I25+I24+I23+I21+I20+I19+I18+I17+I16+I15+I14+I13+I12+I11+I10+I9+I8+I7+I6+I5+I58+I57</f>
        <v>0</v>
      </c>
      <c r="J61" s="170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</row>
    <row r="62" spans="1:35" s="165" customFormat="1" x14ac:dyDescent="0.25">
      <c r="A62" s="171"/>
      <c r="B62" s="168" t="s">
        <v>309</v>
      </c>
      <c r="C62" s="175">
        <v>0</v>
      </c>
      <c r="D62" s="169"/>
      <c r="E62" s="169"/>
      <c r="F62" s="174"/>
      <c r="G62" s="174"/>
      <c r="H62" s="174"/>
      <c r="I62" s="174">
        <f>I61*C62</f>
        <v>0</v>
      </c>
      <c r="J62" s="170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</row>
    <row r="63" spans="1:35" s="165" customFormat="1" x14ac:dyDescent="0.25">
      <c r="A63" s="171"/>
      <c r="B63" s="168" t="s">
        <v>22</v>
      </c>
      <c r="C63" s="175"/>
      <c r="D63" s="169"/>
      <c r="E63" s="169"/>
      <c r="F63" s="174"/>
      <c r="G63" s="174"/>
      <c r="H63" s="174"/>
      <c r="I63" s="174">
        <f>I61+I62</f>
        <v>0</v>
      </c>
      <c r="J63" s="170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</row>
    <row r="64" spans="1:35" s="165" customFormat="1" x14ac:dyDescent="0.25">
      <c r="A64" s="171"/>
      <c r="B64" s="168" t="s">
        <v>367</v>
      </c>
      <c r="C64" s="175">
        <v>0</v>
      </c>
      <c r="D64" s="169"/>
      <c r="E64" s="169"/>
      <c r="F64" s="174"/>
      <c r="G64" s="174"/>
      <c r="H64" s="174"/>
      <c r="I64" s="174">
        <f>I63*C64</f>
        <v>0</v>
      </c>
      <c r="J64" s="170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</row>
    <row r="65" spans="1:30" s="165" customFormat="1" x14ac:dyDescent="0.25">
      <c r="A65" s="171"/>
      <c r="B65" s="168" t="s">
        <v>22</v>
      </c>
      <c r="C65" s="175"/>
      <c r="D65" s="169"/>
      <c r="E65" s="169"/>
      <c r="F65" s="174"/>
      <c r="G65" s="174"/>
      <c r="H65" s="174"/>
      <c r="I65" s="174">
        <f>I63+I64</f>
        <v>0</v>
      </c>
      <c r="J65" s="170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</row>
    <row r="66" spans="1:30" x14ac:dyDescent="0.25">
      <c r="A66" s="171"/>
      <c r="B66" s="168" t="s">
        <v>0</v>
      </c>
      <c r="C66" s="175">
        <v>0.05</v>
      </c>
      <c r="D66" s="169"/>
      <c r="E66" s="169"/>
      <c r="F66" s="174"/>
      <c r="G66" s="174"/>
      <c r="H66" s="174"/>
      <c r="I66" s="174">
        <f>I65*C66</f>
        <v>0</v>
      </c>
      <c r="J66" s="170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</row>
    <row r="67" spans="1:30" s="165" customFormat="1" x14ac:dyDescent="0.25">
      <c r="A67" s="171"/>
      <c r="B67" s="168" t="s">
        <v>317</v>
      </c>
      <c r="C67" s="175"/>
      <c r="D67" s="169"/>
      <c r="E67" s="169"/>
      <c r="F67" s="174"/>
      <c r="G67" s="174"/>
      <c r="H67" s="174"/>
      <c r="I67" s="174">
        <f>I65+I66</f>
        <v>0</v>
      </c>
      <c r="J67" s="170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</row>
    <row r="68" spans="1:30" s="165" customFormat="1" x14ac:dyDescent="0.25">
      <c r="A68" s="171"/>
      <c r="B68" s="168" t="s">
        <v>311</v>
      </c>
      <c r="C68" s="175">
        <v>0.18</v>
      </c>
      <c r="D68" s="169"/>
      <c r="E68" s="169"/>
      <c r="F68" s="174"/>
      <c r="G68" s="174"/>
      <c r="H68" s="174"/>
      <c r="I68" s="174">
        <f>I67*C68</f>
        <v>0</v>
      </c>
      <c r="J68" s="170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</row>
    <row r="69" spans="1:30" s="165" customFormat="1" x14ac:dyDescent="0.25">
      <c r="A69" s="171"/>
      <c r="B69" s="168" t="s">
        <v>314</v>
      </c>
      <c r="C69" s="167"/>
      <c r="D69" s="169"/>
      <c r="E69" s="169"/>
      <c r="F69" s="174"/>
      <c r="G69" s="174"/>
      <c r="H69" s="174"/>
      <c r="I69" s="174">
        <f>I67+I68</f>
        <v>0</v>
      </c>
      <c r="J69" s="176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</row>
    <row r="70" spans="1:30" x14ac:dyDescent="0.25">
      <c r="A70" s="177"/>
      <c r="B70" s="178"/>
      <c r="C70" s="179"/>
      <c r="D70" s="179"/>
      <c r="E70" s="179"/>
      <c r="F70" s="179"/>
      <c r="G70" s="179"/>
      <c r="H70" s="179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</row>
    <row r="71" spans="1:30" s="165" customFormat="1" x14ac:dyDescent="0.25">
      <c r="A71" s="217"/>
      <c r="B71" s="217"/>
      <c r="C71" s="180"/>
      <c r="D71" s="181"/>
      <c r="E71" s="182"/>
      <c r="F71" s="183"/>
      <c r="G71" s="184"/>
      <c r="H71" s="184"/>
      <c r="I71" s="185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</row>
    <row r="72" spans="1:30" s="165" customFormat="1" x14ac:dyDescent="0.25">
      <c r="A72" s="177"/>
      <c r="B72" s="178"/>
      <c r="C72" s="179"/>
      <c r="D72" s="179"/>
      <c r="E72" s="179"/>
      <c r="F72" s="179"/>
      <c r="G72" s="179"/>
      <c r="H72" s="179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</row>
    <row r="73" spans="1:30" s="165" customFormat="1" x14ac:dyDescent="0.25">
      <c r="A73" s="178"/>
      <c r="B73" s="179"/>
      <c r="C73" s="179"/>
      <c r="D73" s="179"/>
      <c r="E73" s="179"/>
      <c r="F73" s="179"/>
      <c r="G73" s="179"/>
      <c r="H73" s="179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</row>
    <row r="74" spans="1:30" x14ac:dyDescent="0.25">
      <c r="A74" s="178"/>
      <c r="B74" s="179"/>
      <c r="C74" s="179"/>
      <c r="D74" s="179"/>
      <c r="E74" s="179"/>
      <c r="F74" s="179"/>
      <c r="G74" s="179"/>
      <c r="H74" s="179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</row>
    <row r="75" spans="1:30" x14ac:dyDescent="0.25">
      <c r="B75" s="161"/>
      <c r="C75" s="161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</row>
    <row r="76" spans="1:30" x14ac:dyDescent="0.25">
      <c r="B76" s="161"/>
      <c r="C76" s="161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</row>
    <row r="77" spans="1:30" s="166" customFormat="1" x14ac:dyDescent="0.25">
      <c r="A77" s="158"/>
      <c r="B77" s="161"/>
      <c r="C77" s="161"/>
      <c r="D77" s="161"/>
      <c r="E77" s="161"/>
      <c r="F77" s="161"/>
      <c r="G77" s="161"/>
      <c r="H77" s="161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</row>
    <row r="78" spans="1:30" s="165" customFormat="1" x14ac:dyDescent="0.25">
      <c r="A78" s="158"/>
      <c r="B78" s="161"/>
      <c r="C78" s="161"/>
      <c r="D78" s="161"/>
      <c r="E78" s="161"/>
      <c r="F78" s="161"/>
      <c r="G78" s="161"/>
      <c r="H78" s="161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</row>
    <row r="79" spans="1:30" s="166" customFormat="1" x14ac:dyDescent="0.25">
      <c r="A79" s="158"/>
      <c r="B79" s="161"/>
      <c r="C79" s="161"/>
      <c r="D79" s="161"/>
      <c r="E79" s="161"/>
      <c r="F79" s="161"/>
      <c r="G79" s="161"/>
      <c r="H79" s="161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</row>
    <row r="80" spans="1:30" s="166" customFormat="1" x14ac:dyDescent="0.25">
      <c r="A80" s="158"/>
      <c r="B80" s="161"/>
      <c r="C80" s="161"/>
      <c r="D80" s="161"/>
      <c r="E80" s="161"/>
      <c r="F80" s="161"/>
      <c r="G80" s="161"/>
      <c r="H80" s="161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</row>
    <row r="81" spans="1:28" s="166" customFormat="1" x14ac:dyDescent="0.25">
      <c r="A81" s="158"/>
      <c r="B81" s="161"/>
      <c r="C81" s="161"/>
      <c r="D81" s="161"/>
      <c r="E81" s="161" t="s">
        <v>315</v>
      </c>
      <c r="F81" s="161"/>
      <c r="G81" s="161"/>
      <c r="H81" s="161"/>
      <c r="I81" s="170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</row>
    <row r="82" spans="1:28" x14ac:dyDescent="0.25">
      <c r="B82" s="161"/>
      <c r="C82" s="161"/>
      <c r="I82" s="170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</row>
    <row r="83" spans="1:28" s="155" customFormat="1" ht="15.95" customHeight="1" x14ac:dyDescent="0.25">
      <c r="A83" s="158"/>
      <c r="B83" s="161"/>
      <c r="C83" s="161"/>
      <c r="D83" s="161"/>
      <c r="E83" s="161"/>
      <c r="F83" s="161"/>
      <c r="G83" s="161"/>
      <c r="H83" s="161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</row>
    <row r="84" spans="1:28" s="155" customFormat="1" ht="15.95" customHeight="1" x14ac:dyDescent="0.25">
      <c r="A84" s="158"/>
      <c r="B84" s="161"/>
      <c r="C84" s="161"/>
      <c r="D84" s="161"/>
      <c r="E84" s="161"/>
      <c r="F84" s="161"/>
      <c r="G84" s="161"/>
      <c r="H84" s="161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</row>
    <row r="85" spans="1:28" s="155" customFormat="1" ht="15.95" customHeight="1" x14ac:dyDescent="0.25">
      <c r="A85" s="158"/>
      <c r="B85" s="161"/>
      <c r="C85" s="161"/>
      <c r="D85" s="161"/>
      <c r="E85" s="161"/>
      <c r="F85" s="161"/>
      <c r="G85" s="161"/>
      <c r="H85" s="161"/>
    </row>
    <row r="86" spans="1:28" s="155" customFormat="1" ht="15.95" customHeight="1" x14ac:dyDescent="0.25">
      <c r="A86" s="154"/>
      <c r="B86" s="157"/>
      <c r="C86" s="158"/>
      <c r="D86" s="161"/>
      <c r="E86" s="161"/>
      <c r="F86" s="161"/>
      <c r="G86" s="161"/>
      <c r="H86" s="161"/>
      <c r="I86" s="161"/>
      <c r="J86" s="156"/>
    </row>
    <row r="87" spans="1:28" s="155" customFormat="1" ht="15.95" customHeight="1" x14ac:dyDescent="0.25">
      <c r="A87" s="163"/>
      <c r="B87" s="157"/>
      <c r="C87" s="158"/>
      <c r="D87" s="161"/>
      <c r="E87" s="161"/>
      <c r="F87" s="161"/>
      <c r="G87" s="161"/>
      <c r="H87" s="161"/>
      <c r="I87" s="161"/>
      <c r="J87" s="156"/>
    </row>
    <row r="88" spans="1:28" s="155" customFormat="1" ht="15.95" customHeight="1" x14ac:dyDescent="0.25">
      <c r="A88" s="158"/>
      <c r="B88" s="157"/>
      <c r="C88" s="158"/>
      <c r="D88" s="161"/>
      <c r="E88" s="161"/>
      <c r="F88" s="161"/>
      <c r="G88" s="161"/>
      <c r="H88" s="161"/>
      <c r="I88" s="161"/>
      <c r="J88" s="156"/>
    </row>
    <row r="89" spans="1:28" s="155" customFormat="1" ht="15.95" customHeight="1" x14ac:dyDescent="0.25">
      <c r="A89" s="158"/>
      <c r="B89" s="157"/>
      <c r="C89" s="158"/>
      <c r="D89" s="161"/>
      <c r="E89" s="161"/>
      <c r="F89" s="161"/>
      <c r="G89" s="161"/>
      <c r="H89" s="161"/>
      <c r="I89" s="161"/>
      <c r="J89" s="156"/>
    </row>
    <row r="90" spans="1:28" s="155" customFormat="1" ht="15.95" customHeight="1" x14ac:dyDescent="0.25">
      <c r="A90" s="158"/>
      <c r="B90" s="157"/>
      <c r="C90" s="158"/>
      <c r="D90" s="161"/>
      <c r="E90" s="161"/>
      <c r="F90" s="161"/>
      <c r="G90" s="161"/>
      <c r="H90" s="161"/>
      <c r="I90" s="161"/>
      <c r="J90" s="156"/>
    </row>
    <row r="91" spans="1:28" s="155" customFormat="1" ht="15.95" customHeight="1" x14ac:dyDescent="0.25">
      <c r="A91" s="158"/>
      <c r="B91" s="157"/>
      <c r="C91" s="158"/>
      <c r="D91" s="161"/>
      <c r="E91" s="161"/>
      <c r="F91" s="161"/>
      <c r="G91" s="161"/>
      <c r="H91" s="161"/>
      <c r="I91" s="161"/>
      <c r="J91" s="156"/>
      <c r="K91" s="156"/>
    </row>
    <row r="92" spans="1:28" s="155" customFormat="1" ht="15.95" customHeight="1" x14ac:dyDescent="0.25">
      <c r="A92" s="158"/>
      <c r="B92" s="157"/>
      <c r="C92" s="158"/>
      <c r="D92" s="161"/>
      <c r="E92" s="161"/>
      <c r="F92" s="161"/>
      <c r="G92" s="161"/>
      <c r="H92" s="161"/>
      <c r="I92" s="161"/>
      <c r="J92" s="156"/>
      <c r="K92" s="163"/>
    </row>
    <row r="93" spans="1:28" ht="30" customHeight="1" x14ac:dyDescent="0.25"/>
    <row r="94" spans="1:28" s="164" customFormat="1" ht="24.75" customHeight="1" x14ac:dyDescent="0.25">
      <c r="A94" s="158"/>
      <c r="B94" s="157"/>
      <c r="C94" s="158"/>
      <c r="D94" s="161"/>
      <c r="E94" s="161"/>
      <c r="F94" s="161"/>
      <c r="G94" s="161"/>
      <c r="H94" s="161"/>
      <c r="I94" s="161"/>
      <c r="J94" s="156"/>
      <c r="K94" s="156"/>
      <c r="L94" s="163"/>
    </row>
  </sheetData>
  <autoFilter ref="A4:L92" xr:uid="{00000000-0009-0000-0000-000001000000}"/>
  <mergeCells count="9">
    <mergeCell ref="A71:B71"/>
    <mergeCell ref="E2:F2"/>
    <mergeCell ref="G2:H2"/>
    <mergeCell ref="I2:I3"/>
    <mergeCell ref="A1:I1"/>
    <mergeCell ref="A2:A3"/>
    <mergeCell ref="B2:B3"/>
    <mergeCell ref="C2:C3"/>
    <mergeCell ref="D2:D3"/>
  </mergeCells>
  <pageMargins left="0.19685039370078741" right="0.19685039370078741" top="0.39370078740157483" bottom="0.59055118110236227" header="0" footer="0"/>
  <pageSetup paperSize="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rusTavi I varianti</vt:lpstr>
      <vt:lpstr>xarjtagricxva</vt:lpstr>
      <vt:lpstr>'rusTavi I varianti'!Print_Area</vt:lpstr>
      <vt:lpstr>xarjtagricxva!Print_Area</vt:lpstr>
      <vt:lpstr>'rusTavi I varianti'!Print_Titles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Naili Kbiladze</cp:lastModifiedBy>
  <cp:lastPrinted>2018-07-11T07:38:20Z</cp:lastPrinted>
  <dcterms:created xsi:type="dcterms:W3CDTF">2012-09-17T10:30:05Z</dcterms:created>
  <dcterms:modified xsi:type="dcterms:W3CDTF">2019-10-25T08:08:05Z</dcterms:modified>
</cp:coreProperties>
</file>