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ქუთაისის სასამართლო" sheetId="3" r:id="rId1"/>
  </sheets>
  <definedNames>
    <definedName name="_xlnm.Print_Area" localSheetId="0">'ქუთაისის სასამართლო'!$A$1:$M$256</definedName>
  </definedNames>
  <calcPr calcId="145621"/>
</workbook>
</file>

<file path=xl/calcChain.xml><?xml version="1.0" encoding="utf-8"?>
<calcChain xmlns="http://schemas.openxmlformats.org/spreadsheetml/2006/main">
  <c r="F13" i="3" l="1"/>
  <c r="H13" i="3" s="1"/>
  <c r="M13" i="3" s="1"/>
  <c r="F65" i="3"/>
  <c r="L65" i="3" s="1"/>
  <c r="M65" i="3" s="1"/>
  <c r="F64" i="3"/>
  <c r="H64" i="3" s="1"/>
  <c r="M64" i="3" s="1"/>
  <c r="F113" i="3"/>
  <c r="E219" i="3" l="1"/>
  <c r="F217" i="3" l="1"/>
  <c r="F219" i="3" s="1"/>
  <c r="L219" i="3" s="1"/>
  <c r="M219" i="3" s="1"/>
  <c r="F212" i="3"/>
  <c r="J212" i="3" s="1"/>
  <c r="M212" i="3" s="1"/>
  <c r="F211" i="3"/>
  <c r="L211" i="3" s="1"/>
  <c r="M211" i="3" s="1"/>
  <c r="F210" i="3"/>
  <c r="H210" i="3" s="1"/>
  <c r="M210" i="3" s="1"/>
  <c r="F216" i="3"/>
  <c r="J216" i="3" s="1"/>
  <c r="M216" i="3" s="1"/>
  <c r="F215" i="3"/>
  <c r="L215" i="3" s="1"/>
  <c r="M215" i="3" s="1"/>
  <c r="F214" i="3"/>
  <c r="H214" i="3" s="1"/>
  <c r="M214" i="3" s="1"/>
  <c r="F218" i="3" l="1"/>
  <c r="H218" i="3" s="1"/>
  <c r="M218" i="3" s="1"/>
  <c r="F220" i="3"/>
  <c r="L220" i="3" s="1"/>
  <c r="M220" i="3" s="1"/>
  <c r="F221" i="3"/>
  <c r="J221" i="3" s="1"/>
  <c r="M221" i="3" s="1"/>
  <c r="F208" i="3"/>
  <c r="J208" i="3" s="1"/>
  <c r="M208" i="3" s="1"/>
  <c r="F207" i="3"/>
  <c r="J207" i="3" s="1"/>
  <c r="M207" i="3" s="1"/>
  <c r="E206" i="3"/>
  <c r="F206" i="3" s="1"/>
  <c r="L206" i="3" s="1"/>
  <c r="M206" i="3" s="1"/>
  <c r="E205" i="3"/>
  <c r="F205" i="3" s="1"/>
  <c r="H205" i="3" s="1"/>
  <c r="M205" i="3" s="1"/>
  <c r="F203" i="3"/>
  <c r="L203" i="3" s="1"/>
  <c r="M203" i="3" s="1"/>
  <c r="E202" i="3"/>
  <c r="F202" i="3" s="1"/>
  <c r="H202" i="3" s="1"/>
  <c r="M202" i="3" s="1"/>
  <c r="E194" i="3"/>
  <c r="F194" i="3" s="1"/>
  <c r="L194" i="3" s="1"/>
  <c r="M194" i="3" s="1"/>
  <c r="E193" i="3"/>
  <c r="F193" i="3" s="1"/>
  <c r="H193" i="3" s="1"/>
  <c r="M193" i="3" s="1"/>
  <c r="F200" i="3"/>
  <c r="J200" i="3" s="1"/>
  <c r="M200" i="3" s="1"/>
  <c r="E199" i="3"/>
  <c r="F199" i="3" s="1"/>
  <c r="L199" i="3" s="1"/>
  <c r="M199" i="3" s="1"/>
  <c r="E198" i="3"/>
  <c r="F198" i="3" s="1"/>
  <c r="H198" i="3" s="1"/>
  <c r="M198" i="3" s="1"/>
  <c r="F196" i="3"/>
  <c r="J196" i="3" s="1"/>
  <c r="M196" i="3" s="1"/>
  <c r="F195" i="3"/>
  <c r="J195" i="3" s="1"/>
  <c r="M195" i="3" s="1"/>
  <c r="F191" i="3"/>
  <c r="L191" i="3" s="1"/>
  <c r="M191" i="3" s="1"/>
  <c r="F190" i="3"/>
  <c r="H190" i="3" s="1"/>
  <c r="M190" i="3" s="1"/>
  <c r="F188" i="3"/>
  <c r="L188" i="3" s="1"/>
  <c r="M188" i="3" s="1"/>
  <c r="F187" i="3"/>
  <c r="H187" i="3" s="1"/>
  <c r="M187" i="3" s="1"/>
  <c r="F185" i="3"/>
  <c r="L185" i="3" s="1"/>
  <c r="M185" i="3" s="1"/>
  <c r="F184" i="3"/>
  <c r="H184" i="3" s="1"/>
  <c r="M184" i="3" s="1"/>
  <c r="F182" i="3"/>
  <c r="J182" i="3" s="1"/>
  <c r="M182" i="3" s="1"/>
  <c r="F181" i="3"/>
  <c r="L181" i="3" s="1"/>
  <c r="M181" i="3" s="1"/>
  <c r="F180" i="3"/>
  <c r="H180" i="3" s="1"/>
  <c r="M180" i="3" s="1"/>
  <c r="F178" i="3"/>
  <c r="L178" i="3" s="1"/>
  <c r="M178" i="3" s="1"/>
  <c r="F177" i="3"/>
  <c r="H177" i="3" s="1"/>
  <c r="M177" i="3" s="1"/>
  <c r="F175" i="3"/>
  <c r="J175" i="3" s="1"/>
  <c r="M175" i="3" s="1"/>
  <c r="F174" i="3"/>
  <c r="J174" i="3" s="1"/>
  <c r="M174" i="3" s="1"/>
  <c r="F173" i="3"/>
  <c r="J173" i="3" s="1"/>
  <c r="M173" i="3" s="1"/>
  <c r="F172" i="3"/>
  <c r="J172" i="3" s="1"/>
  <c r="M172" i="3" s="1"/>
  <c r="E171" i="3"/>
  <c r="F171" i="3" s="1"/>
  <c r="L171" i="3" s="1"/>
  <c r="M171" i="3" s="1"/>
  <c r="E170" i="3"/>
  <c r="F170" i="3" s="1"/>
  <c r="H170" i="3" s="1"/>
  <c r="M170" i="3" s="1"/>
  <c r="F168" i="3"/>
  <c r="J168" i="3" s="1"/>
  <c r="M168" i="3" s="1"/>
  <c r="F167" i="3"/>
  <c r="J167" i="3" s="1"/>
  <c r="M167" i="3" s="1"/>
  <c r="F166" i="3"/>
  <c r="J166" i="3" s="1"/>
  <c r="M166" i="3" s="1"/>
  <c r="E165" i="3"/>
  <c r="F165" i="3" s="1"/>
  <c r="L165" i="3" s="1"/>
  <c r="M165" i="3" s="1"/>
  <c r="E164" i="3"/>
  <c r="F164" i="3" s="1"/>
  <c r="H164" i="3" s="1"/>
  <c r="M164" i="3" s="1"/>
  <c r="F162" i="3"/>
  <c r="J162" i="3" s="1"/>
  <c r="M162" i="3" s="1"/>
  <c r="F161" i="3"/>
  <c r="J161" i="3" s="1"/>
  <c r="M161" i="3" s="1"/>
  <c r="E160" i="3"/>
  <c r="F160" i="3" s="1"/>
  <c r="L160" i="3" s="1"/>
  <c r="M160" i="3" s="1"/>
  <c r="E159" i="3"/>
  <c r="F159" i="3" s="1"/>
  <c r="L159" i="3" s="1"/>
  <c r="M159" i="3" s="1"/>
  <c r="E158" i="3"/>
  <c r="F158" i="3" s="1"/>
  <c r="H158" i="3" s="1"/>
  <c r="M158" i="3" s="1"/>
  <c r="F156" i="3"/>
  <c r="J156" i="3" s="1"/>
  <c r="M156" i="3" s="1"/>
  <c r="E155" i="3"/>
  <c r="F155" i="3" s="1"/>
  <c r="L155" i="3" s="1"/>
  <c r="M155" i="3" s="1"/>
  <c r="E154" i="3"/>
  <c r="F154" i="3" s="1"/>
  <c r="L154" i="3" s="1"/>
  <c r="M154" i="3" s="1"/>
  <c r="E153" i="3"/>
  <c r="F153" i="3" s="1"/>
  <c r="H153" i="3" s="1"/>
  <c r="M153" i="3" s="1"/>
  <c r="F151" i="3"/>
  <c r="L151" i="3" s="1"/>
  <c r="M151" i="3" s="1"/>
  <c r="F150" i="3"/>
  <c r="H150" i="3" s="1"/>
  <c r="M150" i="3" s="1"/>
  <c r="F143" i="3"/>
  <c r="F147" i="3" s="1"/>
  <c r="J147" i="3" s="1"/>
  <c r="M147" i="3" s="1"/>
  <c r="E146" i="3"/>
  <c r="E145" i="3"/>
  <c r="E144" i="3"/>
  <c r="F148" i="3" l="1"/>
  <c r="J148" i="3" s="1"/>
  <c r="M148" i="3" s="1"/>
  <c r="F145" i="3"/>
  <c r="L145" i="3" s="1"/>
  <c r="M145" i="3" s="1"/>
  <c r="F146" i="3"/>
  <c r="J146" i="3" s="1"/>
  <c r="M146" i="3" s="1"/>
  <c r="F144" i="3"/>
  <c r="H144" i="3" s="1"/>
  <c r="M144" i="3" s="1"/>
  <c r="F142" i="3"/>
  <c r="J142" i="3" s="1"/>
  <c r="M142" i="3" s="1"/>
  <c r="F141" i="3"/>
  <c r="J141" i="3" s="1"/>
  <c r="M141" i="3" s="1"/>
  <c r="F140" i="3"/>
  <c r="J140" i="3" s="1"/>
  <c r="M140" i="3" s="1"/>
  <c r="F139" i="3"/>
  <c r="J139" i="3" s="1"/>
  <c r="M139" i="3" s="1"/>
  <c r="F138" i="3"/>
  <c r="L138" i="3" s="1"/>
  <c r="M138" i="3" s="1"/>
  <c r="F137" i="3"/>
  <c r="H137" i="3" s="1"/>
  <c r="M137" i="3" s="1"/>
  <c r="F135" i="3"/>
  <c r="L135" i="3" s="1"/>
  <c r="M135" i="3" s="1"/>
  <c r="F134" i="3"/>
  <c r="H134" i="3" s="1"/>
  <c r="M134" i="3" s="1"/>
  <c r="F122" i="3"/>
  <c r="J125" i="3"/>
  <c r="M125" i="3" s="1"/>
  <c r="F126" i="3"/>
  <c r="J126" i="3" s="1"/>
  <c r="M126" i="3" s="1"/>
  <c r="E124" i="3"/>
  <c r="E123" i="3"/>
  <c r="J111" i="3"/>
  <c r="M111" i="3" s="1"/>
  <c r="J112" i="3"/>
  <c r="M112" i="3" s="1"/>
  <c r="J113" i="3"/>
  <c r="M113" i="3" s="1"/>
  <c r="J114" i="3"/>
  <c r="M114" i="3" s="1"/>
  <c r="J115" i="3"/>
  <c r="M115" i="3" s="1"/>
  <c r="J116" i="3"/>
  <c r="M116" i="3" s="1"/>
  <c r="J117" i="3"/>
  <c r="M117" i="3" s="1"/>
  <c r="J118" i="3"/>
  <c r="M118" i="3" s="1"/>
  <c r="J119" i="3"/>
  <c r="M119" i="3" s="1"/>
  <c r="J110" i="3"/>
  <c r="M110" i="3" s="1"/>
  <c r="E109" i="3"/>
  <c r="E108" i="3"/>
  <c r="E107" i="3"/>
  <c r="F106" i="3"/>
  <c r="F120" i="3" s="1"/>
  <c r="J120" i="3" s="1"/>
  <c r="M120" i="3" s="1"/>
  <c r="F105" i="3"/>
  <c r="J105" i="3" s="1"/>
  <c r="M105" i="3" s="1"/>
  <c r="J104" i="3"/>
  <c r="M104" i="3" s="1"/>
  <c r="J103" i="3"/>
  <c r="M103" i="3" s="1"/>
  <c r="E102" i="3"/>
  <c r="F102" i="3" s="1"/>
  <c r="L102" i="3" s="1"/>
  <c r="M102" i="3" s="1"/>
  <c r="E101" i="3"/>
  <c r="F101" i="3" s="1"/>
  <c r="H101" i="3" s="1"/>
  <c r="M101" i="3" s="1"/>
  <c r="F99" i="3"/>
  <c r="J99" i="3" s="1"/>
  <c r="M99" i="3" s="1"/>
  <c r="F98" i="3"/>
  <c r="J98" i="3" s="1"/>
  <c r="M98" i="3" s="1"/>
  <c r="F97" i="3"/>
  <c r="J97" i="3" s="1"/>
  <c r="M97" i="3" s="1"/>
  <c r="F96" i="3"/>
  <c r="J96" i="3" s="1"/>
  <c r="M96" i="3" s="1"/>
  <c r="F95" i="3"/>
  <c r="L95" i="3" s="1"/>
  <c r="M95" i="3" s="1"/>
  <c r="F94" i="3"/>
  <c r="H94" i="3" s="1"/>
  <c r="M94" i="3" s="1"/>
  <c r="F92" i="3"/>
  <c r="J92" i="3" s="1"/>
  <c r="M92" i="3" s="1"/>
  <c r="F91" i="3"/>
  <c r="J91" i="3" s="1"/>
  <c r="M91" i="3" s="1"/>
  <c r="F90" i="3"/>
  <c r="L90" i="3" s="1"/>
  <c r="M90" i="3" s="1"/>
  <c r="F89" i="3"/>
  <c r="H89" i="3" s="1"/>
  <c r="M89" i="3" s="1"/>
  <c r="E85" i="3"/>
  <c r="F85" i="3" s="1"/>
  <c r="J85" i="3" s="1"/>
  <c r="M85" i="3" s="1"/>
  <c r="E84" i="3"/>
  <c r="F84" i="3" s="1"/>
  <c r="E83" i="3"/>
  <c r="F83" i="3" s="1"/>
  <c r="L83" i="3" s="1"/>
  <c r="M83" i="3" s="1"/>
  <c r="E82" i="3"/>
  <c r="F82" i="3" s="1"/>
  <c r="H82" i="3" s="1"/>
  <c r="M82" i="3" s="1"/>
  <c r="E77" i="3"/>
  <c r="F77" i="3" s="1"/>
  <c r="L77" i="3" s="1"/>
  <c r="M77" i="3" s="1"/>
  <c r="E76" i="3"/>
  <c r="F76" i="3" s="1"/>
  <c r="H76" i="3" s="1"/>
  <c r="F79" i="3"/>
  <c r="J79" i="3" s="1"/>
  <c r="M79" i="3" s="1"/>
  <c r="F80" i="3"/>
  <c r="J80" i="3" s="1"/>
  <c r="M80" i="3" s="1"/>
  <c r="J78" i="3"/>
  <c r="M78" i="3" s="1"/>
  <c r="F74" i="3"/>
  <c r="L74" i="3" s="1"/>
  <c r="M74" i="3" s="1"/>
  <c r="F73" i="3"/>
  <c r="H73" i="3" s="1"/>
  <c r="M73" i="3" s="1"/>
  <c r="F70" i="3"/>
  <c r="J70" i="3" s="1"/>
  <c r="M70" i="3" s="1"/>
  <c r="F69" i="3"/>
  <c r="J69" i="3" s="1"/>
  <c r="M69" i="3" s="1"/>
  <c r="F68" i="3"/>
  <c r="L68" i="3" s="1"/>
  <c r="M68" i="3" s="1"/>
  <c r="F71" i="3"/>
  <c r="J71" i="3" s="1"/>
  <c r="M71" i="3" s="1"/>
  <c r="E31" i="3"/>
  <c r="F31" i="3" s="1"/>
  <c r="L31" i="3" s="1"/>
  <c r="M31" i="3" s="1"/>
  <c r="E30" i="3"/>
  <c r="F30" i="3" s="1"/>
  <c r="H30" i="3" s="1"/>
  <c r="M30" i="3" s="1"/>
  <c r="F62" i="3"/>
  <c r="J62" i="3" s="1"/>
  <c r="M62" i="3" s="1"/>
  <c r="F61" i="3"/>
  <c r="J61" i="3" s="1"/>
  <c r="M61" i="3" s="1"/>
  <c r="F60" i="3"/>
  <c r="J60" i="3" s="1"/>
  <c r="M60" i="3" s="1"/>
  <c r="F59" i="3"/>
  <c r="J59" i="3" s="1"/>
  <c r="M59" i="3" s="1"/>
  <c r="F58" i="3"/>
  <c r="J58" i="3" s="1"/>
  <c r="M58" i="3" s="1"/>
  <c r="F57" i="3"/>
  <c r="J57" i="3" s="1"/>
  <c r="M57" i="3" s="1"/>
  <c r="F56" i="3"/>
  <c r="J56" i="3" s="1"/>
  <c r="M56" i="3" s="1"/>
  <c r="F55" i="3"/>
  <c r="J55" i="3" s="1"/>
  <c r="M55" i="3" s="1"/>
  <c r="F54" i="3"/>
  <c r="J54" i="3" s="1"/>
  <c r="M54" i="3" s="1"/>
  <c r="J53" i="3"/>
  <c r="M53" i="3" s="1"/>
  <c r="J52" i="3"/>
  <c r="M52" i="3" s="1"/>
  <c r="F51" i="3"/>
  <c r="L51" i="3" s="1"/>
  <c r="M51" i="3" s="1"/>
  <c r="F50" i="3"/>
  <c r="H50" i="3" s="1"/>
  <c r="M50" i="3" s="1"/>
  <c r="F48" i="3"/>
  <c r="J48" i="3" s="1"/>
  <c r="M48" i="3" s="1"/>
  <c r="F47" i="3"/>
  <c r="J47" i="3" s="1"/>
  <c r="M47" i="3" s="1"/>
  <c r="F46" i="3"/>
  <c r="J46" i="3" s="1"/>
  <c r="M46" i="3" s="1"/>
  <c r="E44" i="3"/>
  <c r="F44" i="3" s="1"/>
  <c r="L44" i="3" s="1"/>
  <c r="M44" i="3" s="1"/>
  <c r="E43" i="3"/>
  <c r="F43" i="3" s="1"/>
  <c r="H43" i="3" s="1"/>
  <c r="M43" i="3" s="1"/>
  <c r="F45" i="3"/>
  <c r="J45" i="3" s="1"/>
  <c r="M45" i="3" s="1"/>
  <c r="F41" i="3"/>
  <c r="J41" i="3" s="1"/>
  <c r="M41" i="3" s="1"/>
  <c r="F40" i="3"/>
  <c r="J40" i="3" s="1"/>
  <c r="M40" i="3" s="1"/>
  <c r="E39" i="3"/>
  <c r="F39" i="3" s="1"/>
  <c r="L39" i="3" s="1"/>
  <c r="M39" i="3" s="1"/>
  <c r="E38" i="3"/>
  <c r="F38" i="3" s="1"/>
  <c r="H38" i="3" s="1"/>
  <c r="M38" i="3" s="1"/>
  <c r="F32" i="3"/>
  <c r="F34" i="3" s="1"/>
  <c r="L34" i="3" s="1"/>
  <c r="M34" i="3" s="1"/>
  <c r="F23" i="3"/>
  <c r="F24" i="3" s="1"/>
  <c r="H24" i="3" s="1"/>
  <c r="M24" i="3" s="1"/>
  <c r="F17" i="3"/>
  <c r="F132" i="3" l="1"/>
  <c r="J132" i="3" s="1"/>
  <c r="M132" i="3" s="1"/>
  <c r="F234" i="3"/>
  <c r="O232" i="3"/>
  <c r="F121" i="3"/>
  <c r="J121" i="3" s="1"/>
  <c r="M121" i="3" s="1"/>
  <c r="F229" i="3"/>
  <c r="M76" i="3"/>
  <c r="F131" i="3"/>
  <c r="J131" i="3" s="1"/>
  <c r="M131" i="3" s="1"/>
  <c r="F108" i="3"/>
  <c r="L108" i="3" s="1"/>
  <c r="M108" i="3" s="1"/>
  <c r="F130" i="3"/>
  <c r="J130" i="3" s="1"/>
  <c r="M130" i="3" s="1"/>
  <c r="F25" i="3"/>
  <c r="L25" i="3" s="1"/>
  <c r="M25" i="3" s="1"/>
  <c r="F26" i="3"/>
  <c r="L26" i="3" s="1"/>
  <c r="M26" i="3" s="1"/>
  <c r="F129" i="3"/>
  <c r="J129" i="3" s="1"/>
  <c r="M129" i="3" s="1"/>
  <c r="F127" i="3"/>
  <c r="J127" i="3" s="1"/>
  <c r="M127" i="3" s="1"/>
  <c r="F124" i="3"/>
  <c r="L124" i="3" s="1"/>
  <c r="M124" i="3" s="1"/>
  <c r="F128" i="3"/>
  <c r="J128" i="3" s="1"/>
  <c r="M128" i="3" s="1"/>
  <c r="F123" i="3"/>
  <c r="H123" i="3" s="1"/>
  <c r="M123" i="3" s="1"/>
  <c r="F107" i="3"/>
  <c r="H107" i="3" s="1"/>
  <c r="M107" i="3" s="1"/>
  <c r="F109" i="3"/>
  <c r="L109" i="3" s="1"/>
  <c r="M109" i="3" s="1"/>
  <c r="J84" i="3"/>
  <c r="F67" i="3"/>
  <c r="H67" i="3" s="1"/>
  <c r="M67" i="3" s="1"/>
  <c r="F27" i="3"/>
  <c r="F28" i="3" s="1"/>
  <c r="L28" i="3" s="1"/>
  <c r="M28" i="3" s="1"/>
  <c r="F33" i="3"/>
  <c r="H33" i="3" s="1"/>
  <c r="M33" i="3" s="1"/>
  <c r="F35" i="3"/>
  <c r="J35" i="3" s="1"/>
  <c r="M35" i="3" s="1"/>
  <c r="F36" i="3"/>
  <c r="J36" i="3" s="1"/>
  <c r="M36" i="3" s="1"/>
  <c r="E231" i="3"/>
  <c r="E230" i="3"/>
  <c r="E225" i="3"/>
  <c r="E224" i="3"/>
  <c r="M84" i="3" l="1"/>
  <c r="I232" i="3"/>
  <c r="F235" i="3"/>
  <c r="H235" i="3" s="1"/>
  <c r="M235" i="3" s="1"/>
  <c r="F228" i="3" l="1"/>
  <c r="J228" i="3" s="1"/>
  <c r="M228" i="3" s="1"/>
  <c r="F227" i="3"/>
  <c r="J227" i="3" s="1"/>
  <c r="M227" i="3" s="1"/>
  <c r="F226" i="3"/>
  <c r="J226" i="3" s="1"/>
  <c r="F225" i="3"/>
  <c r="L225" i="3" s="1"/>
  <c r="M225" i="3" s="1"/>
  <c r="F224" i="3"/>
  <c r="H224" i="3" s="1"/>
  <c r="M224" i="3" s="1"/>
  <c r="F22" i="3"/>
  <c r="L22" i="3" s="1"/>
  <c r="M22" i="3" s="1"/>
  <c r="F21" i="3"/>
  <c r="L21" i="3" s="1"/>
  <c r="M21" i="3" s="1"/>
  <c r="F20" i="3"/>
  <c r="H20" i="3" s="1"/>
  <c r="M20" i="3" s="1"/>
  <c r="F18" i="3"/>
  <c r="H18" i="3" s="1"/>
  <c r="M18" i="3" s="1"/>
  <c r="F16" i="3"/>
  <c r="L16" i="3" s="1"/>
  <c r="F15" i="3"/>
  <c r="H15" i="3" s="1"/>
  <c r="F11" i="3"/>
  <c r="L11" i="3" s="1"/>
  <c r="F10" i="3"/>
  <c r="H10" i="3" s="1"/>
  <c r="M10" i="3" s="1"/>
  <c r="M226" i="3" l="1"/>
  <c r="M15" i="3"/>
  <c r="M16" i="3"/>
  <c r="F232" i="3"/>
  <c r="J232" i="3" s="1"/>
  <c r="M11" i="3"/>
  <c r="M232" i="3" l="1"/>
  <c r="F231" i="3"/>
  <c r="L231" i="3" s="1"/>
  <c r="F233" i="3"/>
  <c r="J233" i="3" s="1"/>
  <c r="F230" i="3"/>
  <c r="H230" i="3" s="1"/>
  <c r="M233" i="3" l="1"/>
  <c r="J237" i="3"/>
  <c r="M230" i="3"/>
  <c r="H237" i="3"/>
  <c r="M248" i="3" s="1"/>
  <c r="M231" i="3"/>
  <c r="L237" i="3"/>
  <c r="M238" i="3"/>
  <c r="M237" i="3" l="1"/>
  <c r="M239" i="3" s="1"/>
  <c r="M240" i="3" s="1"/>
  <c r="M241" i="3" s="1"/>
  <c r="M242" i="3" s="1"/>
  <c r="M243" i="3" s="1"/>
  <c r="M244" i="3" s="1"/>
  <c r="M245" i="3" s="1"/>
  <c r="M246" i="3" s="1"/>
  <c r="M247" i="3" s="1"/>
  <c r="M249" i="3" s="1"/>
  <c r="M250" i="3" s="1"/>
  <c r="M251" i="3" s="1"/>
  <c r="I4" i="3" s="1"/>
</calcChain>
</file>

<file path=xl/sharedStrings.xml><?xml version="1.0" encoding="utf-8"?>
<sst xmlns="http://schemas.openxmlformats.org/spreadsheetml/2006/main" count="604" uniqueCount="288">
  <si>
    <t>lokalur-resursuli xarjTaRricxva #1</t>
  </si>
  <si>
    <t xml:space="preserve">saxarjTaRricxvo Rirebuleba                                                                                     </t>
  </si>
  <si>
    <t>aTasi lari</t>
  </si>
  <si>
    <t>NN</t>
  </si>
  <si>
    <t>safuZveli</t>
  </si>
  <si>
    <t>samuSaoebis dasaxeleba</t>
  </si>
  <si>
    <t>ganz.</t>
  </si>
  <si>
    <t>normatiuli resursi</t>
  </si>
  <si>
    <t>xelfasi</t>
  </si>
  <si>
    <t>masala</t>
  </si>
  <si>
    <t xml:space="preserve">samSeneblo meqanizmebi </t>
  </si>
  <si>
    <t>jami</t>
  </si>
  <si>
    <t>sul</t>
  </si>
  <si>
    <t>erT. fasi</t>
  </si>
  <si>
    <t>kac/sT</t>
  </si>
  <si>
    <t>lari</t>
  </si>
  <si>
    <t>sxva masala</t>
  </si>
  <si>
    <t xml:space="preserve">Sromis danaxarjebi </t>
  </si>
  <si>
    <t>t</t>
  </si>
  <si>
    <t>m3</t>
  </si>
  <si>
    <t>zednadebi xarjebi</t>
  </si>
  <si>
    <t>100m2</t>
  </si>
  <si>
    <t xml:space="preserve">manqanebi </t>
  </si>
  <si>
    <t>m2</t>
  </si>
  <si>
    <t>kg</t>
  </si>
  <si>
    <t>liTonis karkasi, konstruqcia</t>
  </si>
  <si>
    <t>gegmiuri dagroveba</t>
  </si>
  <si>
    <t>satransporto xarjebi masalis Rirebulebidan</t>
  </si>
  <si>
    <t xml:space="preserve">jami </t>
  </si>
  <si>
    <t>gauTvaliswinebeli samuSaoebi</t>
  </si>
  <si>
    <t>dRg</t>
  </si>
  <si>
    <t>lursmani</t>
  </si>
  <si>
    <t xml:space="preserve">jami  </t>
  </si>
  <si>
    <t>manq/sT</t>
  </si>
  <si>
    <t>cementis xsnari</t>
  </si>
  <si>
    <t>mavTuli 1,1mm.</t>
  </si>
  <si>
    <t>manqanebi</t>
  </si>
  <si>
    <t>erTeul.</t>
  </si>
  <si>
    <t>liTonis konstruqciuli elementebis, detalebis da ankerebis damzadeba</t>
  </si>
  <si>
    <t>t/km</t>
  </si>
  <si>
    <t>yalibis fari</t>
  </si>
  <si>
    <t>xis mori</t>
  </si>
  <si>
    <t>5.1 p.7</t>
  </si>
  <si>
    <t>naWedi</t>
  </si>
  <si>
    <t>1.10 p.2</t>
  </si>
  <si>
    <t>eqskavatori 0.5m3</t>
  </si>
  <si>
    <t>cementis xsnari 1:3</t>
  </si>
  <si>
    <t>100c</t>
  </si>
  <si>
    <t>Sromis danaxarjebi 13.8*1.75</t>
  </si>
  <si>
    <t>manqanebi 6.88*1.75</t>
  </si>
  <si>
    <t>5.1 p.33</t>
  </si>
  <si>
    <t>saZirkvlis gaZlierebisaTvis gruntis amoReba xeliT Senobis SigniT</t>
  </si>
  <si>
    <t xml:space="preserve">gruntis gatana 15 km-ze </t>
  </si>
  <si>
    <t>5.1 p.29</t>
  </si>
  <si>
    <t>manqanebi 1.74+0.28*14*1.25</t>
  </si>
  <si>
    <t>14 p.21</t>
  </si>
  <si>
    <t>proeq.</t>
  </si>
  <si>
    <t>biTumis mastika</t>
  </si>
  <si>
    <t>saRebavi wyalemulsiuri</t>
  </si>
  <si>
    <t>fiTxi</t>
  </si>
  <si>
    <t>xaraCoebis mowyoba da daSla</t>
  </si>
  <si>
    <t>xaraCos liTonis detalebi</t>
  </si>
  <si>
    <t>xaraCos xis detalebi</t>
  </si>
  <si>
    <t>1.9 p.57</t>
  </si>
  <si>
    <t>5.1 p.21</t>
  </si>
  <si>
    <t>1.9 p.71</t>
  </si>
  <si>
    <t>ruberoidi 2 fena</t>
  </si>
  <si>
    <t>4.1 p.396</t>
  </si>
  <si>
    <t xml:space="preserve">sndaw IV-2-82
46-29-1  </t>
  </si>
  <si>
    <t xml:space="preserve">ВЗЕР-88 1-130   </t>
  </si>
  <si>
    <t xml:space="preserve">sndaw IV-2-82
46-1-1   </t>
  </si>
  <si>
    <t xml:space="preserve">sndaw IV-2-82
46-15-2  </t>
  </si>
  <si>
    <t xml:space="preserve">betonis Semonakirwylis demontaJi  </t>
  </si>
  <si>
    <t xml:space="preserve">sndaw IV-2-82
1-22-15   </t>
  </si>
  <si>
    <t>sxva manqanebi</t>
  </si>
  <si>
    <t>4.1 p.346</t>
  </si>
  <si>
    <t xml:space="preserve">sndaw IV-2-82
6-1-1   </t>
  </si>
  <si>
    <t xml:space="preserve">fanjrebis demontaJi </t>
  </si>
  <si>
    <t xml:space="preserve">sndaw IV-2-82
46-32-2  </t>
  </si>
  <si>
    <t xml:space="preserve">gare liTonis karis demontaJi </t>
  </si>
  <si>
    <t xml:space="preserve">sndaw IV-2-82
46-32-3  </t>
  </si>
  <si>
    <t xml:space="preserve">Sida xis karebis demontaJi </t>
  </si>
  <si>
    <t xml:space="preserve">sndaw IV-2-82
46-32-3 miy. </t>
  </si>
  <si>
    <t>Riobebis gaZliereba liTonis garsakriT</t>
  </si>
  <si>
    <t xml:space="preserve">sndaw IV-2-82
46-2-2  </t>
  </si>
  <si>
    <t>1.4 p.31</t>
  </si>
  <si>
    <t>1.6 p.21</t>
  </si>
  <si>
    <t xml:space="preserve">sndaw IV-2-82
9-14-5  </t>
  </si>
  <si>
    <t xml:space="preserve">sndaw IV-2-82
9-14-5 miy.  </t>
  </si>
  <si>
    <t xml:space="preserve">sndaw IV-2-82
10-20-1   </t>
  </si>
  <si>
    <t>gverdulebis Selesva</t>
  </si>
  <si>
    <t>grZ.m.</t>
  </si>
  <si>
    <t>მ3</t>
  </si>
  <si>
    <t>ყალიბის ფარი 25მმ.</t>
  </si>
  <si>
    <t>მ2</t>
  </si>
  <si>
    <t>ტ</t>
  </si>
  <si>
    <t>ელექტროდი</t>
  </si>
  <si>
    <t>5.1 p.37</t>
  </si>
  <si>
    <t>გრუნტი</t>
  </si>
  <si>
    <t>5.1 p.31</t>
  </si>
  <si>
    <t>კგ</t>
  </si>
  <si>
    <t xml:space="preserve">gare, არსებული liTonis karis montaJi </t>
  </si>
  <si>
    <t>cementi m-300</t>
  </si>
  <si>
    <t>4.1 p.186</t>
  </si>
  <si>
    <t xml:space="preserve">amoTxrili gruntis gamotana xelis urikebiT 20 metramde gadaadgilebiT </t>
  </si>
  <si>
    <t>cali</t>
  </si>
  <si>
    <t>გრძ.მ.</t>
  </si>
  <si>
    <t>ლითონის მოაჯირის მოხსნა</t>
  </si>
  <si>
    <t xml:space="preserve">sndaw IV-2-82
7-58-4 მიყ. </t>
  </si>
  <si>
    <t xml:space="preserve">saZirkvlebis gaZliereba rkinabetoniT </t>
  </si>
  <si>
    <t>1.1 p.26</t>
  </si>
  <si>
    <t>1.1 p.28</t>
  </si>
  <si>
    <t>4.1 p.351</t>
  </si>
  <si>
    <t>5.1 p.144</t>
  </si>
  <si>
    <t>4.1 p.547</t>
  </si>
  <si>
    <t>4.1 p.377</t>
  </si>
  <si>
    <t>manqanebi 1.4*1.25</t>
  </si>
  <si>
    <t>aguris kedlebSi budeebis amomtvreva liTonis koWebis Camosadebad</t>
  </si>
  <si>
    <t xml:space="preserve">sndaw IV-2-82
46-18-2  </t>
  </si>
  <si>
    <t>budeebis Sevseba wvrilfraqciuli betoniT</t>
  </si>
  <si>
    <t xml:space="preserve">sndaw IV-2-82
46-22-5  </t>
  </si>
  <si>
    <t>Sromis danaxarjebi</t>
  </si>
  <si>
    <t xml:space="preserve">monoliTuri betonis Semonakirwylis (sarinelis) mowyoba sisqiT 10sm. </t>
  </si>
  <si>
    <t>4.1 p.348</t>
  </si>
  <si>
    <t>metaloplastmasis fanjara</t>
  </si>
  <si>
    <t>10.3 p.4</t>
  </si>
  <si>
    <t>4.1 p.386</t>
  </si>
  <si>
    <t>Sida kedlebis Selesva Sida mxare</t>
  </si>
  <si>
    <t>fasadis kedlebis Selesva gare mxare</t>
  </si>
  <si>
    <t>4.2 p.46</t>
  </si>
  <si>
    <t>4.2 p.84</t>
  </si>
  <si>
    <t xml:space="preserve">Sida kedlebis SeRebva </t>
  </si>
  <si>
    <t xml:space="preserve">ფასადის SeRebva </t>
  </si>
  <si>
    <t>4.2 p.59</t>
  </si>
  <si>
    <t>saRebavi fasadis</t>
  </si>
  <si>
    <t>4.2 p.85</t>
  </si>
  <si>
    <t>4.2 p.103</t>
  </si>
  <si>
    <t>ლითონის მოაჯირის montaJi</t>
  </si>
  <si>
    <t>liTonis moajiri</t>
  </si>
  <si>
    <t>1.9 p.68</t>
  </si>
  <si>
    <t>1.1 p.45</t>
  </si>
  <si>
    <t>sapensio fondi</t>
  </si>
  <si>
    <t>pompis momsaxureoba</t>
  </si>
  <si>
    <t>horizontaluri hidroizolacia ori fena ruberoidiT</t>
  </si>
  <si>
    <t xml:space="preserve">sndaw IV-2-82
8-4-3   </t>
  </si>
  <si>
    <t xml:space="preserve">metaloplastmasis fanjrebis montaJi </t>
  </si>
  <si>
    <t>Sromis danaxarjebi 0.379*0.6</t>
  </si>
  <si>
    <t>Sromis danaxarjebi 19.7*1.15</t>
  </si>
  <si>
    <t>manqanebi 4.37*1.25</t>
  </si>
  <si>
    <t>Sromis danaxarjebi 1.37*1.15</t>
  </si>
  <si>
    <t>manqanebi 0.28*1.25</t>
  </si>
  <si>
    <t>Sromis danaxarjebi 210*1.15</t>
  </si>
  <si>
    <t>Sromis danaxarjebi 40.2+1.26*14*1.15</t>
  </si>
  <si>
    <t>Sromis danaxarjebi 0.93*1.15</t>
  </si>
  <si>
    <t>xsnaris tumbo 3m3/sT 0.024*1.25</t>
  </si>
  <si>
    <t>manqanebi 0.026*1.25</t>
  </si>
  <si>
    <t>xsnaris tumbo 1m3/sT 0.041*1.25</t>
  </si>
  <si>
    <t>manqanebi 0.027*1.25</t>
  </si>
  <si>
    <t>Sromis danaxarjebi 1.01*1.16*1.15</t>
  </si>
  <si>
    <t xml:space="preserve">sndaw IV-2-82
15-56-1 k=1.25  </t>
  </si>
  <si>
    <t>Sromis danaxarjebi 1.79*1.15</t>
  </si>
  <si>
    <t>manqanebi 0.076*1.25</t>
  </si>
  <si>
    <t>Sromis danaxarjebi 0.658*1.15</t>
  </si>
  <si>
    <t>manqanebi 0.01*1.25</t>
  </si>
  <si>
    <t>Sromis danaxarjebi 0.139*1.15</t>
  </si>
  <si>
    <t>manqanebi 0.007*1.25</t>
  </si>
  <si>
    <t>Sromis danaxarjebi 0.379*1.15</t>
  </si>
  <si>
    <t>manqanebi 0.028*1.25</t>
  </si>
  <si>
    <t>Sromis danaxarjebi 0.459*1.15</t>
  </si>
  <si>
    <t>manqanebi 0.0023*1.25</t>
  </si>
  <si>
    <t>Sromis danaxarjebi 23.8*1.15</t>
  </si>
  <si>
    <t>amwe 5,5-8t.  0.394*1.25</t>
  </si>
  <si>
    <t xml:space="preserve">sndaw IV-2-82
6-9-7  </t>
  </si>
  <si>
    <t xml:space="preserve">sndaw IV-2-82
11-11-1,2  </t>
  </si>
  <si>
    <t xml:space="preserve">sndaw IV-2-82
15-52-1   </t>
  </si>
  <si>
    <t xml:space="preserve">sndaw IV-2-82
15-55-9   </t>
  </si>
  <si>
    <t xml:space="preserve">sndaw IV-2-82
15-168-7   </t>
  </si>
  <si>
    <t xml:space="preserve">sndaw IV-2-82
15-156-4   </t>
  </si>
  <si>
    <t xml:space="preserve">sndaw IV-2-82
7-58-4  </t>
  </si>
  <si>
    <t xml:space="preserve">sndaw IV-2-82
8-22-2   </t>
  </si>
  <si>
    <t xml:space="preserve">sndaw IV-2-82
6-44-8   </t>
  </si>
  <si>
    <t>kibis sayrdenebisaTvis Senobis garedan III jgufis gruntis damuSaveba eqskavatoriT avtoTviTmclelebze datvirTviT</t>
  </si>
  <si>
    <t>gamotanili III jgufis gruntis eqskavatoriT avtoTviTmclelebze datvirTva</t>
  </si>
  <si>
    <t>13 p.118</t>
  </si>
  <si>
    <t xml:space="preserve">sndaw IV-2-82
8-3-2   </t>
  </si>
  <si>
    <t>filis qveS RorRis safuZvlis mowyoba sisqiT 20sm.</t>
  </si>
  <si>
    <t xml:space="preserve">RorRi </t>
  </si>
  <si>
    <t>4.1 p.240</t>
  </si>
  <si>
    <t xml:space="preserve">kedlebSi Rarebis amoReba kveTiT 20*25sm. </t>
  </si>
  <si>
    <t xml:space="preserve">sndaw IV-2-82
46-21-3,7  </t>
  </si>
  <si>
    <t>manqanebi 0.279+0.065*20</t>
  </si>
  <si>
    <t>Sromis danaxarjebi 0.744+0.173*20</t>
  </si>
  <si>
    <t>kuTxovana75*5</t>
  </si>
  <si>
    <t>liTonis furclovana 8მმ.</t>
  </si>
  <si>
    <t xml:space="preserve">sndaw IV-2-82
46-18-4  </t>
  </si>
  <si>
    <t>armaturis ReroebisaTvis კედლების daburRva d-25mm. sirRmiT 400mm.</t>
  </si>
  <si>
    <t>არმატურის კარკასის მოწყობა კედლებზე</t>
  </si>
  <si>
    <t xml:space="preserve">sndaw IV-2-82
15-61-1  </t>
  </si>
  <si>
    <t>Sromis danaxarjebi 0.223*1.15</t>
  </si>
  <si>
    <t>manqanebi 0.005*1.25</t>
  </si>
  <si>
    <t xml:space="preserve">sndaw IV-2-82
15-60-3  </t>
  </si>
  <si>
    <t>Sromis danaxarjebi 1.42*1.15*1.16</t>
  </si>
  <si>
    <t>manqanebi 0.069*1.25*1.15</t>
  </si>
  <si>
    <t>sxva masala 0.003*1.05</t>
  </si>
  <si>
    <t>ცემენტის ხსნარი მ-150 0.00417*1.05</t>
  </si>
  <si>
    <t>არმატურის კარკასიანი კედლების შელესვა ქვიშა-ცემენტის ხსნარით მ-150 სისქით 4სმ.</t>
  </si>
  <si>
    <t>4.1 პ.383</t>
  </si>
  <si>
    <t>კიბე</t>
  </si>
  <si>
    <t>კიბის წერტილოვანი საძირკვლის qveS RorRis safuZvlis mowyoba sisqiT 20sm.</t>
  </si>
  <si>
    <t xml:space="preserve">sndaw IV-2-82
6-1-5   </t>
  </si>
  <si>
    <t>5.1 პ.144</t>
  </si>
  <si>
    <t>5.1 პ.22</t>
  </si>
  <si>
    <t xml:space="preserve">Casadebi detalebis mowyoba Cd-1 4c. </t>
  </si>
  <si>
    <t xml:space="preserve">კიბის ლითონის კარკასის mowyoba  </t>
  </si>
  <si>
    <t xml:space="preserve">sndaw IV-2-82
9-32-10  </t>
  </si>
  <si>
    <t>Sromis danaxarjebi 32.9*1.15</t>
  </si>
  <si>
    <t>მანქ/სთ</t>
  </si>
  <si>
    <t>ამწე საავტომობილო 16ტ. 0.35*1.25</t>
  </si>
  <si>
    <t>manqanebi 13.9*1.25</t>
  </si>
  <si>
    <t>შველერი #18</t>
  </si>
  <si>
    <t>შველერი #20</t>
  </si>
  <si>
    <t>შველერი #16</t>
  </si>
  <si>
    <t>ორტესებრი#16</t>
  </si>
  <si>
    <t>მილკვადრატი 150*150*6</t>
  </si>
  <si>
    <t>კუთხოვანა 100*</t>
  </si>
  <si>
    <t>liTonis furceli -150*150*6</t>
  </si>
  <si>
    <t>13 პ.46</t>
  </si>
  <si>
    <t>1.4 პ.16</t>
  </si>
  <si>
    <t>1.4 პ.1</t>
  </si>
  <si>
    <t>1.4 პ.31</t>
  </si>
  <si>
    <t>1.10 პ.14</t>
  </si>
  <si>
    <t>2.2 პ.1</t>
  </si>
  <si>
    <t xml:space="preserve">sndaw IV-2-82
6-16-7   </t>
  </si>
  <si>
    <t>Sromis danaxarjebi 15.3*1.15</t>
  </si>
  <si>
    <t>manqanebi 1.29*1.25</t>
  </si>
  <si>
    <t>5.1 პ.18</t>
  </si>
  <si>
    <t>5.1 პ.21</t>
  </si>
  <si>
    <t>კუთხოვანა 75*5</t>
  </si>
  <si>
    <t>კუთხოვანა 50*3</t>
  </si>
  <si>
    <t>liTonis furceli -1400*600*2,5</t>
  </si>
  <si>
    <t xml:space="preserve">kedlebidan nalesis Camoxsna 2 mxare </t>
  </si>
  <si>
    <t>13 p.190</t>
  </si>
  <si>
    <t>13 p.191</t>
  </si>
  <si>
    <t xml:space="preserve">Sida axali karis montaJi </t>
  </si>
  <si>
    <t>metaloplastmasis karebi</t>
  </si>
  <si>
    <t>10.3 p.7</t>
  </si>
  <si>
    <t>Sromis danaxarjebi 0.914*1.15</t>
  </si>
  <si>
    <t>manqanebi 0.353*1.25</t>
  </si>
  <si>
    <t xml:space="preserve">rkinabetonis baqnis demontaJi </t>
  </si>
  <si>
    <t xml:space="preserve">kibis liTonis konstruqciebis demontaJi </t>
  </si>
  <si>
    <t xml:space="preserve">sndaw IV-2-82
46-33-2  </t>
  </si>
  <si>
    <t xml:space="preserve">sndaw IV-2-82
46-33-4  </t>
  </si>
  <si>
    <t>bzarebis ineqcireba polimercementis xsnariT</t>
  </si>
  <si>
    <t xml:space="preserve">sndaw IV-2-82
7-50-2   </t>
  </si>
  <si>
    <t>polimercementis xsnari</t>
  </si>
  <si>
    <t>4.2 p.113</t>
  </si>
  <si>
    <t>13 p.295</t>
  </si>
  <si>
    <t>saineqcio danadgari</t>
  </si>
  <si>
    <t>q. quTaisis saapelacio sasamarTlos calke mdgomi Senobis #01/2 (damxmare Senoba-nagebobis) gamagreba- gaZlierebis</t>
  </si>
  <si>
    <t>Riopbebis kuTxeebis Camomtvreva kuTxovanebis mosawyobad</t>
  </si>
  <si>
    <t xml:space="preserve">sndaw IV-2-82
46-23-4  </t>
  </si>
  <si>
    <t xml:space="preserve">iatakis betonis filebis demontaJi  </t>
  </si>
  <si>
    <t xml:space="preserve">sndaw IV-2-82
46-30-5  </t>
  </si>
  <si>
    <t>droebiTi Senoba nagebobebi არაუმეტეს 1,2%</t>
  </si>
  <si>
    <r>
      <rPr>
        <b/>
        <sz val="8"/>
        <rFont val="Calibri"/>
        <family val="2"/>
        <charset val="204"/>
      </rPr>
      <t>BЗЕР</t>
    </r>
    <r>
      <rPr>
        <b/>
        <sz val="8"/>
        <rFont val="AcadNusx"/>
      </rPr>
      <t xml:space="preserve"> 1-11  </t>
    </r>
  </si>
  <si>
    <r>
      <t xml:space="preserve">srf 2019w. </t>
    </r>
    <r>
      <rPr>
        <b/>
        <sz val="8"/>
        <rFont val="Sylfaen"/>
        <family val="1"/>
        <charset val="204"/>
      </rPr>
      <t>I</t>
    </r>
    <r>
      <rPr>
        <b/>
        <sz val="8"/>
        <rFont val="AcadNusx"/>
      </rPr>
      <t>kv. 14 p.15</t>
    </r>
  </si>
  <si>
    <r>
      <t xml:space="preserve">armirebuli iatakisTvis safuZvlis mowyoba betoniT sisqiT 10sm. </t>
    </r>
    <r>
      <rPr>
        <b/>
        <sz val="9"/>
        <rFont val="Calibri"/>
        <family val="2"/>
        <charset val="204"/>
      </rPr>
      <t>B</t>
    </r>
    <r>
      <rPr>
        <b/>
        <sz val="9"/>
        <rFont val="AcadNusx"/>
      </rPr>
      <t xml:space="preserve">-7.5 </t>
    </r>
  </si>
  <si>
    <r>
      <t xml:space="preserve">betoni  </t>
    </r>
    <r>
      <rPr>
        <sz val="9"/>
        <rFont val="Calibri"/>
        <family val="2"/>
        <charset val="204"/>
      </rPr>
      <t>B</t>
    </r>
    <r>
      <rPr>
        <sz val="9"/>
        <rFont val="AcadNusx"/>
      </rPr>
      <t xml:space="preserve">-7.5 </t>
    </r>
  </si>
  <si>
    <r>
      <t xml:space="preserve">armatura </t>
    </r>
    <r>
      <rPr>
        <sz val="9"/>
        <rFont val="Sylfaen"/>
        <family val="1"/>
        <charset val="204"/>
      </rPr>
      <t>A</t>
    </r>
    <r>
      <rPr>
        <sz val="9"/>
        <rFont val="AcadNusx"/>
      </rPr>
      <t>-</t>
    </r>
    <r>
      <rPr>
        <sz val="9"/>
        <rFont val="Sylfaen"/>
        <family val="1"/>
        <charset val="204"/>
      </rPr>
      <t>I</t>
    </r>
    <r>
      <rPr>
        <sz val="9"/>
        <rFont val="AcadNusx"/>
      </rPr>
      <t xml:space="preserve"> d-8 </t>
    </r>
    <r>
      <rPr>
        <sz val="9"/>
        <rFont val="Sylfaen"/>
        <family val="1"/>
        <charset val="204"/>
      </rPr>
      <t>A24</t>
    </r>
    <r>
      <rPr>
        <sz val="9"/>
        <rFont val="AcadNusx"/>
      </rPr>
      <t>0</t>
    </r>
  </si>
  <si>
    <r>
      <t xml:space="preserve">armatura </t>
    </r>
    <r>
      <rPr>
        <sz val="9"/>
        <rFont val="Sylfaen"/>
        <family val="1"/>
        <charset val="204"/>
      </rPr>
      <t>A</t>
    </r>
    <r>
      <rPr>
        <sz val="9"/>
        <rFont val="AcadNusx"/>
      </rPr>
      <t>-</t>
    </r>
    <r>
      <rPr>
        <sz val="9"/>
        <rFont val="Sylfaen"/>
        <family val="1"/>
        <charset val="204"/>
      </rPr>
      <t>III</t>
    </r>
    <r>
      <rPr>
        <sz val="9"/>
        <rFont val="AcadNusx"/>
      </rPr>
      <t xml:space="preserve"> d-10-18 </t>
    </r>
    <r>
      <rPr>
        <sz val="9"/>
        <rFont val="Sylfaen"/>
        <family val="1"/>
        <charset val="204"/>
      </rPr>
      <t>A</t>
    </r>
    <r>
      <rPr>
        <sz val="9"/>
        <rFont val="AcadNusx"/>
      </rPr>
      <t>500</t>
    </r>
    <r>
      <rPr>
        <sz val="9"/>
        <rFont val="Sylfaen"/>
        <family val="1"/>
        <charset val="204"/>
      </rPr>
      <t>C</t>
    </r>
  </si>
  <si>
    <r>
      <t xml:space="preserve">betoni  </t>
    </r>
    <r>
      <rPr>
        <sz val="9"/>
        <rFont val="Calibri"/>
        <family val="2"/>
        <charset val="204"/>
      </rPr>
      <t>B</t>
    </r>
    <r>
      <rPr>
        <sz val="9"/>
        <rFont val="AcadNusx"/>
      </rPr>
      <t xml:space="preserve">-25 </t>
    </r>
  </si>
  <si>
    <r>
      <t xml:space="preserve">ficari Camouganavi </t>
    </r>
    <r>
      <rPr>
        <sz val="9"/>
        <rFont val="Calibri"/>
        <family val="2"/>
        <charset val="204"/>
      </rPr>
      <t>III</t>
    </r>
    <r>
      <rPr>
        <sz val="9"/>
        <rFont val="AcadNusx"/>
      </rPr>
      <t xml:space="preserve"> xar. 40mm.</t>
    </r>
  </si>
  <si>
    <r>
      <t xml:space="preserve">ficari Camouganavi </t>
    </r>
    <r>
      <rPr>
        <sz val="9"/>
        <rFont val="Calibri"/>
        <family val="2"/>
        <charset val="204"/>
      </rPr>
      <t>IV</t>
    </r>
    <r>
      <rPr>
        <sz val="9"/>
        <rFont val="AcadNusx"/>
      </rPr>
      <t xml:space="preserve"> xar. 19-22mm.</t>
    </r>
  </si>
  <si>
    <r>
      <t xml:space="preserve">ficari Camouganavi </t>
    </r>
    <r>
      <rPr>
        <sz val="9"/>
        <rFont val="Calibri"/>
        <family val="2"/>
        <charset val="204"/>
      </rPr>
      <t>IV</t>
    </r>
    <r>
      <rPr>
        <sz val="9"/>
        <rFont val="AcadNusx"/>
      </rPr>
      <t xml:space="preserve"> xar. 40mm.</t>
    </r>
  </si>
  <si>
    <r>
      <t xml:space="preserve">armatura </t>
    </r>
    <r>
      <rPr>
        <sz val="9"/>
        <rFont val="Sylfaen"/>
        <family val="1"/>
        <charset val="204"/>
      </rPr>
      <t>A</t>
    </r>
    <r>
      <rPr>
        <sz val="9"/>
        <rFont val="AcadNusx"/>
      </rPr>
      <t>-</t>
    </r>
    <r>
      <rPr>
        <sz val="9"/>
        <rFont val="Sylfaen"/>
        <family val="1"/>
        <charset val="204"/>
      </rPr>
      <t>I</t>
    </r>
    <r>
      <rPr>
        <sz val="9"/>
        <rFont val="AcadNusx"/>
      </rPr>
      <t xml:space="preserve"> d-6 </t>
    </r>
    <r>
      <rPr>
        <sz val="9"/>
        <rFont val="Sylfaen"/>
        <family val="1"/>
        <charset val="204"/>
      </rPr>
      <t>A24</t>
    </r>
    <r>
      <rPr>
        <sz val="9"/>
        <rFont val="AcadNusx"/>
      </rPr>
      <t>0</t>
    </r>
  </si>
  <si>
    <r>
      <t xml:space="preserve">armatura </t>
    </r>
    <r>
      <rPr>
        <sz val="9"/>
        <rFont val="Sylfaen"/>
        <family val="1"/>
        <charset val="204"/>
      </rPr>
      <t>A</t>
    </r>
    <r>
      <rPr>
        <sz val="9"/>
        <rFont val="AcadNusx"/>
      </rPr>
      <t>-</t>
    </r>
    <r>
      <rPr>
        <sz val="9"/>
        <rFont val="Sylfaen"/>
        <family val="1"/>
        <charset val="204"/>
      </rPr>
      <t>III</t>
    </r>
    <r>
      <rPr>
        <sz val="9"/>
        <rFont val="AcadNusx"/>
      </rPr>
      <t xml:space="preserve"> d-8 </t>
    </r>
    <r>
      <rPr>
        <sz val="9"/>
        <rFont val="Sylfaen"/>
        <family val="1"/>
        <charset val="204"/>
      </rPr>
      <t>A</t>
    </r>
    <r>
      <rPr>
        <sz val="9"/>
        <rFont val="AcadNusx"/>
      </rPr>
      <t>500</t>
    </r>
    <r>
      <rPr>
        <sz val="9"/>
        <rFont val="Sylfaen"/>
        <family val="1"/>
        <charset val="204"/>
      </rPr>
      <t>C</t>
    </r>
  </si>
  <si>
    <r>
      <t xml:space="preserve">კიბისთვის წერტილოვანი საძირკვლის mowyoba betoniT </t>
    </r>
    <r>
      <rPr>
        <b/>
        <sz val="9"/>
        <rFont val="Calibri"/>
        <family val="2"/>
        <charset val="204"/>
      </rPr>
      <t>B</t>
    </r>
    <r>
      <rPr>
        <b/>
        <sz val="9"/>
        <rFont val="AcadNusx"/>
      </rPr>
      <t xml:space="preserve">-25 </t>
    </r>
  </si>
  <si>
    <r>
      <t xml:space="preserve">ფიცარი ჩამოგანული </t>
    </r>
    <r>
      <rPr>
        <sz val="9"/>
        <rFont val="Sylfaen"/>
        <family val="1"/>
        <charset val="204"/>
      </rPr>
      <t>III</t>
    </r>
    <r>
      <rPr>
        <sz val="9"/>
        <rFont val="AcadNusx"/>
      </rPr>
      <t xml:space="preserve"> ხარ. 40მმ.</t>
    </r>
  </si>
  <si>
    <t>liTonis furceli -400*400*20</t>
  </si>
  <si>
    <r>
      <t xml:space="preserve">armatura </t>
    </r>
    <r>
      <rPr>
        <sz val="9"/>
        <rFont val="Sylfaen"/>
        <family val="1"/>
        <charset val="204"/>
      </rPr>
      <t>A</t>
    </r>
    <r>
      <rPr>
        <sz val="9"/>
        <rFont val="AcadNusx"/>
      </rPr>
      <t>-</t>
    </r>
    <r>
      <rPr>
        <sz val="9"/>
        <rFont val="Sylfaen"/>
        <family val="1"/>
        <charset val="204"/>
      </rPr>
      <t>III</t>
    </r>
    <r>
      <rPr>
        <sz val="9"/>
        <rFont val="AcadNusx"/>
      </rPr>
      <t xml:space="preserve"> d-12 </t>
    </r>
    <r>
      <rPr>
        <sz val="9"/>
        <rFont val="Sylfaen"/>
        <family val="1"/>
        <charset val="204"/>
      </rPr>
      <t>A</t>
    </r>
    <r>
      <rPr>
        <sz val="9"/>
        <rFont val="AcadNusx"/>
      </rPr>
      <t>500</t>
    </r>
    <r>
      <rPr>
        <sz val="9"/>
        <rFont val="Sylfaen"/>
        <family val="1"/>
        <charset val="204"/>
      </rPr>
      <t>C</t>
    </r>
  </si>
  <si>
    <r>
      <t xml:space="preserve">მონოლითური რკინაბეტონის კიბის ბაქნის mowyoba სისქით 10სმ. betoni </t>
    </r>
    <r>
      <rPr>
        <b/>
        <sz val="9"/>
        <rFont val="Calibri"/>
        <family val="2"/>
        <charset val="204"/>
      </rPr>
      <t>B</t>
    </r>
    <r>
      <rPr>
        <b/>
        <sz val="9"/>
        <rFont val="AcadNusx"/>
      </rPr>
      <t xml:space="preserve">-25 </t>
    </r>
  </si>
  <si>
    <r>
      <t xml:space="preserve">armatura </t>
    </r>
    <r>
      <rPr>
        <sz val="9"/>
        <rFont val="Sylfaen"/>
        <family val="1"/>
        <charset val="204"/>
      </rPr>
      <t>A</t>
    </r>
    <r>
      <rPr>
        <sz val="9"/>
        <rFont val="AcadNusx"/>
      </rPr>
      <t>-</t>
    </r>
    <r>
      <rPr>
        <sz val="9"/>
        <rFont val="Sylfaen"/>
        <family val="1"/>
        <charset val="204"/>
      </rPr>
      <t>III</t>
    </r>
    <r>
      <rPr>
        <sz val="9"/>
        <rFont val="AcadNusx"/>
      </rPr>
      <t xml:space="preserve"> d-8-10 </t>
    </r>
    <r>
      <rPr>
        <sz val="9"/>
        <rFont val="Sylfaen"/>
        <family val="1"/>
        <charset val="204"/>
      </rPr>
      <t>A</t>
    </r>
    <r>
      <rPr>
        <sz val="9"/>
        <rFont val="AcadNusx"/>
      </rPr>
      <t>500</t>
    </r>
    <r>
      <rPr>
        <sz val="9"/>
        <rFont val="Sylfaen"/>
        <family val="1"/>
        <charset val="204"/>
      </rPr>
      <t>C</t>
    </r>
  </si>
  <si>
    <r>
      <t xml:space="preserve">ფიცარი ჩამოგანული </t>
    </r>
    <r>
      <rPr>
        <sz val="9"/>
        <rFont val="Sylfaen"/>
        <family val="1"/>
        <charset val="204"/>
      </rPr>
      <t>II</t>
    </r>
    <r>
      <rPr>
        <sz val="9"/>
        <rFont val="AcadNusx"/>
      </rPr>
      <t xml:space="preserve"> ხარ. 25-32მმ.</t>
    </r>
  </si>
  <si>
    <r>
      <t xml:space="preserve">ფიცარი ჩამოგანული </t>
    </r>
    <r>
      <rPr>
        <sz val="9"/>
        <rFont val="Sylfaen"/>
        <family val="1"/>
        <charset val="204"/>
      </rPr>
      <t>II</t>
    </r>
    <r>
      <rPr>
        <sz val="9"/>
        <rFont val="AcadNusx"/>
      </rPr>
      <t xml:space="preserve"> ხარ. 40მმ.</t>
    </r>
  </si>
  <si>
    <r>
      <t>wvrilfraqciuli betoni B</t>
    </r>
    <r>
      <rPr>
        <sz val="9"/>
        <rFont val="Sylfaen"/>
        <family val="1"/>
        <charset val="204"/>
      </rPr>
      <t>B</t>
    </r>
    <r>
      <rPr>
        <sz val="9"/>
        <rFont val="AcadNusx"/>
      </rPr>
      <t xml:space="preserve">-25 </t>
    </r>
  </si>
  <si>
    <r>
      <t xml:space="preserve">Zelaki </t>
    </r>
    <r>
      <rPr>
        <sz val="9"/>
        <rFont val="Sylfaen"/>
        <family val="1"/>
        <charset val="204"/>
      </rPr>
      <t>III</t>
    </r>
    <r>
      <rPr>
        <sz val="9"/>
        <rFont val="AcadNusx"/>
      </rPr>
      <t xml:space="preserve"> xar. 50-60mm.</t>
    </r>
  </si>
  <si>
    <r>
      <t xml:space="preserve">ficari Camouganavi </t>
    </r>
    <r>
      <rPr>
        <sz val="9"/>
        <rFont val="Sylfaen"/>
        <family val="1"/>
        <charset val="204"/>
      </rPr>
      <t>III</t>
    </r>
    <r>
      <rPr>
        <sz val="9"/>
        <rFont val="AcadNusx"/>
      </rPr>
      <t xml:space="preserve"> xar. 25-32mm.</t>
    </r>
  </si>
  <si>
    <r>
      <t>betoni B</t>
    </r>
    <r>
      <rPr>
        <sz val="9"/>
        <rFont val="Sylfaen"/>
        <family val="1"/>
        <charset val="204"/>
      </rPr>
      <t>B</t>
    </r>
    <r>
      <rPr>
        <sz val="9"/>
        <rFont val="AcadNusx"/>
      </rPr>
      <t>-12.5 3.06+0.51*14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</si>
</sst>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%"/>
    <numFmt numFmtId="166" formatCode="0.0000"/>
    <numFmt numFmtId="167" formatCode="0.00000"/>
    <numFmt numFmtId="168" formatCode="0.0"/>
  </numFmts>
  <fonts count="1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AcadNusx"/>
    </font>
    <font>
      <sz val="11"/>
      <name val="Calibri"/>
      <family val="2"/>
      <scheme val="minor"/>
    </font>
    <font>
      <sz val="11"/>
      <name val="AcadNusx"/>
    </font>
    <font>
      <sz val="8"/>
      <name val="AcadNusx"/>
    </font>
    <font>
      <b/>
      <sz val="10"/>
      <name val="Arial"/>
      <family val="2"/>
      <charset val="204"/>
    </font>
    <font>
      <b/>
      <sz val="9"/>
      <name val="AcadNusx"/>
    </font>
    <font>
      <b/>
      <sz val="10"/>
      <name val="AcadNusx"/>
    </font>
    <font>
      <b/>
      <sz val="8"/>
      <name val="AcadNusx"/>
    </font>
    <font>
      <sz val="9"/>
      <name val="AcadNusx"/>
    </font>
    <font>
      <b/>
      <sz val="8"/>
      <name val="Calibri"/>
      <family val="2"/>
      <charset val="204"/>
    </font>
    <font>
      <b/>
      <sz val="8"/>
      <name val="Sylfaen"/>
      <family val="1"/>
      <charset val="204"/>
    </font>
    <font>
      <b/>
      <sz val="9"/>
      <name val="Calibri"/>
      <family val="2"/>
      <charset val="204"/>
    </font>
    <font>
      <sz val="9"/>
      <name val="Calibri"/>
      <family val="2"/>
      <charset val="204"/>
    </font>
    <font>
      <sz val="9"/>
      <name val="Sylfaen"/>
      <family val="1"/>
      <charset val="204"/>
    </font>
    <font>
      <sz val="8"/>
      <name val="Calibri"/>
      <family val="2"/>
      <scheme val="minor"/>
    </font>
    <font>
      <b/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justify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168" fontId="7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10" fillId="2" borderId="2" xfId="1" applyFont="1" applyFill="1" applyBorder="1" applyAlignment="1">
      <alignment vertical="top" wrapText="1"/>
    </xf>
    <xf numFmtId="0" fontId="10" fillId="2" borderId="2" xfId="1" applyFont="1" applyFill="1" applyBorder="1" applyAlignment="1">
      <alignment horizontal="center" vertical="top" wrapText="1"/>
    </xf>
    <xf numFmtId="2" fontId="10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justify"/>
    </xf>
    <xf numFmtId="2" fontId="7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0" fillId="2" borderId="2" xfId="1" applyFont="1" applyFill="1" applyBorder="1" applyAlignment="1">
      <alignment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7" fontId="10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wrapText="1"/>
    </xf>
    <xf numFmtId="167" fontId="7" fillId="2" borderId="2" xfId="0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top" wrapText="1"/>
    </xf>
    <xf numFmtId="168" fontId="10" fillId="2" borderId="2" xfId="0" applyNumberFormat="1" applyFont="1" applyFill="1" applyBorder="1" applyAlignment="1">
      <alignment horizontal="center"/>
    </xf>
    <xf numFmtId="166" fontId="10" fillId="2" borderId="2" xfId="0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64" fontId="10" fillId="2" borderId="2" xfId="0" applyNumberFormat="1" applyFont="1" applyFill="1" applyBorder="1" applyAlignment="1">
      <alignment horizontal="center" vertical="center"/>
    </xf>
    <xf numFmtId="166" fontId="10" fillId="2" borderId="2" xfId="0" applyNumberFormat="1" applyFont="1" applyFill="1" applyBorder="1" applyAlignment="1">
      <alignment horizontal="center" vertical="center"/>
    </xf>
    <xf numFmtId="168" fontId="10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166" fontId="3" fillId="0" borderId="0" xfId="0" applyNumberFormat="1" applyFont="1"/>
    <xf numFmtId="2" fontId="3" fillId="0" borderId="0" xfId="0" applyNumberFormat="1" applyFont="1"/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5" fillId="0" borderId="2" xfId="0" applyFont="1" applyBorder="1"/>
    <xf numFmtId="0" fontId="10" fillId="0" borderId="2" xfId="0" applyFont="1" applyBorder="1" applyAlignment="1">
      <alignment horizontal="center"/>
    </xf>
    <xf numFmtId="9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vertical="justify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justify"/>
    </xf>
    <xf numFmtId="0" fontId="8" fillId="0" borderId="5" xfId="0" applyFont="1" applyBorder="1" applyAlignment="1">
      <alignment horizontal="center" vertical="justify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Normal" xfId="0" builtinId="0"/>
    <cellStyle name="Normal_stadion-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"/>
  <sheetViews>
    <sheetView tabSelected="1" view="pageBreakPreview" topLeftCell="A103" zoomScale="160" zoomScaleSheetLayoutView="160" workbookViewId="0">
      <selection activeCell="C107" sqref="C107"/>
    </sheetView>
  </sheetViews>
  <sheetFormatPr defaultRowHeight="15"/>
  <cols>
    <col min="1" max="1" width="3.7109375" style="1" customWidth="1"/>
    <col min="2" max="2" width="12.5703125" style="66" customWidth="1"/>
    <col min="3" max="3" width="51" style="1" customWidth="1"/>
    <col min="4" max="4" width="7.85546875" style="1" customWidth="1"/>
    <col min="5" max="5" width="7" style="67" customWidth="1"/>
    <col min="6" max="6" width="7.85546875" style="1" customWidth="1"/>
    <col min="7" max="7" width="6" style="67" customWidth="1"/>
    <col min="8" max="8" width="8.5703125" style="67" customWidth="1"/>
    <col min="9" max="9" width="5.7109375" style="67" customWidth="1"/>
    <col min="10" max="10" width="9" style="67" customWidth="1"/>
    <col min="11" max="11" width="5.7109375" style="67" customWidth="1"/>
    <col min="12" max="12" width="7.85546875" style="67" customWidth="1"/>
    <col min="13" max="13" width="9.85546875" style="67" customWidth="1"/>
    <col min="14" max="16384" width="9.140625" style="1"/>
  </cols>
  <sheetData>
    <row r="1" spans="1:13" ht="31.5" customHeight="1">
      <c r="A1" s="69" t="s">
        <v>258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6.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3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6.5">
      <c r="A4" s="2" t="s">
        <v>1</v>
      </c>
      <c r="B4" s="3"/>
      <c r="C4" s="2"/>
      <c r="D4" s="2"/>
      <c r="E4" s="4"/>
      <c r="F4" s="2"/>
      <c r="G4" s="4"/>
      <c r="H4" s="4"/>
      <c r="I4" s="71">
        <f>M251/1000</f>
        <v>0</v>
      </c>
      <c r="J4" s="71"/>
      <c r="K4" s="4"/>
      <c r="L4" s="4" t="s">
        <v>2</v>
      </c>
      <c r="M4" s="4"/>
    </row>
    <row r="5" spans="1:13" ht="15.75">
      <c r="A5" s="72"/>
      <c r="B5" s="72"/>
      <c r="C5" s="72"/>
      <c r="D5" s="72"/>
      <c r="E5" s="72"/>
      <c r="F5" s="2"/>
      <c r="G5" s="4"/>
      <c r="H5" s="4"/>
      <c r="I5" s="4"/>
      <c r="J5" s="4"/>
      <c r="K5" s="4"/>
      <c r="L5" s="4"/>
      <c r="M5" s="4"/>
    </row>
    <row r="6" spans="1:13" ht="27" customHeight="1">
      <c r="A6" s="73" t="s">
        <v>3</v>
      </c>
      <c r="B6" s="74" t="s">
        <v>4</v>
      </c>
      <c r="C6" s="76" t="s">
        <v>5</v>
      </c>
      <c r="D6" s="76" t="s">
        <v>6</v>
      </c>
      <c r="E6" s="78" t="s">
        <v>7</v>
      </c>
      <c r="F6" s="79"/>
      <c r="G6" s="80" t="s">
        <v>8</v>
      </c>
      <c r="H6" s="81"/>
      <c r="I6" s="80" t="s">
        <v>9</v>
      </c>
      <c r="J6" s="81"/>
      <c r="K6" s="78" t="s">
        <v>10</v>
      </c>
      <c r="L6" s="79"/>
      <c r="M6" s="76" t="s">
        <v>11</v>
      </c>
    </row>
    <row r="7" spans="1:13" ht="27" customHeight="1">
      <c r="A7" s="73"/>
      <c r="B7" s="75"/>
      <c r="C7" s="77"/>
      <c r="D7" s="77"/>
      <c r="E7" s="5" t="s">
        <v>37</v>
      </c>
      <c r="F7" s="6" t="s">
        <v>12</v>
      </c>
      <c r="G7" s="5" t="s">
        <v>13</v>
      </c>
      <c r="H7" s="7" t="s">
        <v>11</v>
      </c>
      <c r="I7" s="5" t="s">
        <v>13</v>
      </c>
      <c r="J7" s="7" t="s">
        <v>11</v>
      </c>
      <c r="K7" s="5" t="s">
        <v>13</v>
      </c>
      <c r="L7" s="7" t="s">
        <v>11</v>
      </c>
      <c r="M7" s="77"/>
    </row>
    <row r="8" spans="1:13" ht="12" customHeight="1">
      <c r="A8" s="8">
        <v>1</v>
      </c>
      <c r="B8" s="9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</row>
    <row r="9" spans="1:13" ht="25.5" customHeight="1">
      <c r="A9" s="10">
        <v>1</v>
      </c>
      <c r="B9" s="11" t="s">
        <v>68</v>
      </c>
      <c r="C9" s="12" t="s">
        <v>72</v>
      </c>
      <c r="D9" s="10" t="s">
        <v>19</v>
      </c>
      <c r="E9" s="10"/>
      <c r="F9" s="13">
        <v>5.2</v>
      </c>
      <c r="G9" s="14"/>
      <c r="H9" s="14"/>
      <c r="I9" s="14"/>
      <c r="J9" s="14"/>
      <c r="K9" s="14"/>
      <c r="L9" s="14"/>
      <c r="M9" s="14"/>
    </row>
    <row r="10" spans="1:13" ht="14.25" customHeight="1">
      <c r="A10" s="10"/>
      <c r="B10" s="15"/>
      <c r="C10" s="16" t="s">
        <v>17</v>
      </c>
      <c r="D10" s="17" t="s">
        <v>14</v>
      </c>
      <c r="E10" s="14">
        <v>7.3</v>
      </c>
      <c r="F10" s="18">
        <f>E10*F9</f>
        <v>37.96</v>
      </c>
      <c r="G10" s="14">
        <v>0</v>
      </c>
      <c r="H10" s="18">
        <f>G10*F10</f>
        <v>0</v>
      </c>
      <c r="I10" s="14"/>
      <c r="J10" s="14"/>
      <c r="K10" s="14"/>
      <c r="L10" s="14"/>
      <c r="M10" s="18">
        <f>L10+J10+H10</f>
        <v>0</v>
      </c>
    </row>
    <row r="11" spans="1:13" ht="14.25" customHeight="1">
      <c r="A11" s="10"/>
      <c r="B11" s="15"/>
      <c r="C11" s="16" t="s">
        <v>36</v>
      </c>
      <c r="D11" s="17" t="s">
        <v>15</v>
      </c>
      <c r="E11" s="14">
        <v>2.9</v>
      </c>
      <c r="F11" s="18">
        <f>E11*F9</f>
        <v>15.08</v>
      </c>
      <c r="G11" s="14"/>
      <c r="H11" s="18"/>
      <c r="I11" s="14"/>
      <c r="J11" s="14"/>
      <c r="K11" s="14">
        <v>0</v>
      </c>
      <c r="L11" s="18">
        <f>K11*F11</f>
        <v>0</v>
      </c>
      <c r="M11" s="18">
        <f>L11+J11+H11</f>
        <v>0</v>
      </c>
    </row>
    <row r="12" spans="1:13" ht="25.5" customHeight="1">
      <c r="A12" s="10">
        <v>2</v>
      </c>
      <c r="B12" s="11" t="s">
        <v>262</v>
      </c>
      <c r="C12" s="12" t="s">
        <v>261</v>
      </c>
      <c r="D12" s="10" t="s">
        <v>19</v>
      </c>
      <c r="E12" s="10"/>
      <c r="F12" s="13">
        <v>526.29999999999995</v>
      </c>
      <c r="G12" s="14"/>
      <c r="H12" s="14"/>
      <c r="I12" s="14"/>
      <c r="J12" s="14"/>
      <c r="K12" s="14"/>
      <c r="L12" s="14"/>
      <c r="M12" s="14"/>
    </row>
    <row r="13" spans="1:13" ht="14.25" customHeight="1">
      <c r="A13" s="10"/>
      <c r="B13" s="15"/>
      <c r="C13" s="16" t="s">
        <v>17</v>
      </c>
      <c r="D13" s="17" t="s">
        <v>14</v>
      </c>
      <c r="E13" s="14">
        <v>0.38800000000000001</v>
      </c>
      <c r="F13" s="18">
        <f>E13*F12</f>
        <v>204.20439999999999</v>
      </c>
      <c r="G13" s="14">
        <v>0</v>
      </c>
      <c r="H13" s="18">
        <f>G13*F13</f>
        <v>0</v>
      </c>
      <c r="I13" s="14"/>
      <c r="J13" s="14"/>
      <c r="K13" s="14"/>
      <c r="L13" s="14"/>
      <c r="M13" s="18">
        <f>L13+J13+H13</f>
        <v>0</v>
      </c>
    </row>
    <row r="14" spans="1:13" ht="24">
      <c r="A14" s="10">
        <v>3</v>
      </c>
      <c r="B14" s="19" t="s">
        <v>264</v>
      </c>
      <c r="C14" s="20" t="s">
        <v>51</v>
      </c>
      <c r="D14" s="10" t="s">
        <v>19</v>
      </c>
      <c r="E14" s="10"/>
      <c r="F14" s="13">
        <v>18.600000000000001</v>
      </c>
      <c r="G14" s="14"/>
      <c r="H14" s="14"/>
      <c r="I14" s="14"/>
      <c r="J14" s="14"/>
      <c r="K14" s="14"/>
      <c r="L14" s="14"/>
      <c r="M14" s="14"/>
    </row>
    <row r="15" spans="1:13" ht="14.25" customHeight="1">
      <c r="A15" s="10"/>
      <c r="B15" s="15"/>
      <c r="C15" s="16" t="s">
        <v>17</v>
      </c>
      <c r="D15" s="17" t="s">
        <v>14</v>
      </c>
      <c r="E15" s="14">
        <v>5.19</v>
      </c>
      <c r="F15" s="18">
        <f>E15*F14</f>
        <v>96.53400000000002</v>
      </c>
      <c r="G15" s="14">
        <v>0</v>
      </c>
      <c r="H15" s="18">
        <f>G15*F15</f>
        <v>0</v>
      </c>
      <c r="I15" s="14"/>
      <c r="J15" s="14"/>
      <c r="K15" s="14"/>
      <c r="L15" s="14"/>
      <c r="M15" s="18">
        <f>L15+J15+H15</f>
        <v>0</v>
      </c>
    </row>
    <row r="16" spans="1:13" ht="14.25" customHeight="1">
      <c r="A16" s="10"/>
      <c r="B16" s="15"/>
      <c r="C16" s="16" t="s">
        <v>36</v>
      </c>
      <c r="D16" s="17" t="s">
        <v>15</v>
      </c>
      <c r="E16" s="14">
        <v>3.06</v>
      </c>
      <c r="F16" s="18">
        <f>E16*F14</f>
        <v>56.916000000000004</v>
      </c>
      <c r="G16" s="14"/>
      <c r="H16" s="18"/>
      <c r="I16" s="14"/>
      <c r="J16" s="14"/>
      <c r="K16" s="14">
        <v>0</v>
      </c>
      <c r="L16" s="18">
        <f>K16*F16</f>
        <v>0</v>
      </c>
      <c r="M16" s="18">
        <f>L16+J16+H16</f>
        <v>0</v>
      </c>
    </row>
    <row r="17" spans="1:13" ht="24">
      <c r="A17" s="10">
        <v>4</v>
      </c>
      <c r="B17" s="11" t="s">
        <v>69</v>
      </c>
      <c r="C17" s="20" t="s">
        <v>104</v>
      </c>
      <c r="D17" s="10" t="s">
        <v>19</v>
      </c>
      <c r="E17" s="10"/>
      <c r="F17" s="21">
        <f>F14</f>
        <v>18.600000000000001</v>
      </c>
      <c r="G17" s="14"/>
      <c r="H17" s="14"/>
      <c r="I17" s="14"/>
      <c r="J17" s="14"/>
      <c r="K17" s="14"/>
      <c r="L17" s="14"/>
      <c r="M17" s="14"/>
    </row>
    <row r="18" spans="1:13" ht="14.25" customHeight="1">
      <c r="A18" s="10"/>
      <c r="B18" s="15"/>
      <c r="C18" s="16" t="s">
        <v>17</v>
      </c>
      <c r="D18" s="17" t="s">
        <v>14</v>
      </c>
      <c r="E18" s="14">
        <v>0.48</v>
      </c>
      <c r="F18" s="18">
        <f>E18*F17</f>
        <v>8.9280000000000008</v>
      </c>
      <c r="G18" s="14">
        <v>0</v>
      </c>
      <c r="H18" s="18">
        <f>G18*F18</f>
        <v>0</v>
      </c>
      <c r="I18" s="14"/>
      <c r="J18" s="14"/>
      <c r="K18" s="14"/>
      <c r="L18" s="14"/>
      <c r="M18" s="18">
        <f>L18+J18+H18</f>
        <v>0</v>
      </c>
    </row>
    <row r="19" spans="1:13" ht="38.25">
      <c r="A19" s="10">
        <v>5</v>
      </c>
      <c r="B19" s="11" t="s">
        <v>73</v>
      </c>
      <c r="C19" s="20" t="s">
        <v>181</v>
      </c>
      <c r="D19" s="10" t="s">
        <v>19</v>
      </c>
      <c r="E19" s="10"/>
      <c r="F19" s="21">
        <v>2</v>
      </c>
      <c r="G19" s="14"/>
      <c r="H19" s="14"/>
      <c r="I19" s="14"/>
      <c r="J19" s="14"/>
      <c r="K19" s="14"/>
      <c r="L19" s="14"/>
      <c r="M19" s="14"/>
    </row>
    <row r="20" spans="1:13" ht="14.25" customHeight="1">
      <c r="A20" s="10"/>
      <c r="B20" s="15"/>
      <c r="C20" s="16" t="s">
        <v>17</v>
      </c>
      <c r="D20" s="17" t="s">
        <v>14</v>
      </c>
      <c r="E20" s="14">
        <v>0.02</v>
      </c>
      <c r="F20" s="18">
        <f>E20*F19</f>
        <v>0.04</v>
      </c>
      <c r="G20" s="14">
        <v>0</v>
      </c>
      <c r="H20" s="18">
        <f>G20*F20</f>
        <v>0</v>
      </c>
      <c r="I20" s="14"/>
      <c r="J20" s="14"/>
      <c r="K20" s="14"/>
      <c r="L20" s="14"/>
      <c r="M20" s="18">
        <f>L20+J20+H20</f>
        <v>0</v>
      </c>
    </row>
    <row r="21" spans="1:13" ht="14.25" customHeight="1">
      <c r="A21" s="10"/>
      <c r="B21" s="22" t="s">
        <v>183</v>
      </c>
      <c r="C21" s="16" t="s">
        <v>45</v>
      </c>
      <c r="D21" s="17" t="s">
        <v>33</v>
      </c>
      <c r="E21" s="14">
        <v>4.48E-2</v>
      </c>
      <c r="F21" s="18">
        <f>E21*F19</f>
        <v>8.9599999999999999E-2</v>
      </c>
      <c r="G21" s="14"/>
      <c r="H21" s="18"/>
      <c r="I21" s="14"/>
      <c r="J21" s="14"/>
      <c r="K21" s="14">
        <v>0</v>
      </c>
      <c r="L21" s="18">
        <f>K21*F21</f>
        <v>0</v>
      </c>
      <c r="M21" s="18">
        <f t="shared" ref="M21:M22" si="0">L21+J21+H21</f>
        <v>0</v>
      </c>
    </row>
    <row r="22" spans="1:13" ht="14.25" customHeight="1">
      <c r="A22" s="10"/>
      <c r="B22" s="15"/>
      <c r="C22" s="16" t="s">
        <v>74</v>
      </c>
      <c r="D22" s="17" t="s">
        <v>15</v>
      </c>
      <c r="E22" s="14">
        <v>2.0999999999999999E-3</v>
      </c>
      <c r="F22" s="23">
        <f>E22*F19</f>
        <v>4.1999999999999997E-3</v>
      </c>
      <c r="G22" s="14"/>
      <c r="H22" s="18"/>
      <c r="I22" s="14"/>
      <c r="J22" s="14"/>
      <c r="K22" s="14">
        <v>0</v>
      </c>
      <c r="L22" s="18">
        <f>K22*F22</f>
        <v>0</v>
      </c>
      <c r="M22" s="18">
        <f t="shared" si="0"/>
        <v>0</v>
      </c>
    </row>
    <row r="23" spans="1:13" ht="25.5" customHeight="1">
      <c r="A23" s="10">
        <v>6</v>
      </c>
      <c r="B23" s="11" t="s">
        <v>73</v>
      </c>
      <c r="C23" s="20" t="s">
        <v>182</v>
      </c>
      <c r="D23" s="10" t="s">
        <v>19</v>
      </c>
      <c r="E23" s="10"/>
      <c r="F23" s="21">
        <f>F9+F14</f>
        <v>23.8</v>
      </c>
      <c r="G23" s="14"/>
      <c r="H23" s="14"/>
      <c r="I23" s="14"/>
      <c r="J23" s="14"/>
      <c r="K23" s="14"/>
      <c r="L23" s="14"/>
      <c r="M23" s="14"/>
    </row>
    <row r="24" spans="1:13" ht="14.25" customHeight="1">
      <c r="A24" s="10"/>
      <c r="B24" s="15"/>
      <c r="C24" s="16" t="s">
        <v>17</v>
      </c>
      <c r="D24" s="17" t="s">
        <v>14</v>
      </c>
      <c r="E24" s="14">
        <v>0.02</v>
      </c>
      <c r="F24" s="18">
        <f>E24*F23</f>
        <v>0.47600000000000003</v>
      </c>
      <c r="G24" s="14">
        <v>0</v>
      </c>
      <c r="H24" s="18">
        <f>G24*F24</f>
        <v>0</v>
      </c>
      <c r="I24" s="14"/>
      <c r="J24" s="14"/>
      <c r="K24" s="14"/>
      <c r="L24" s="14"/>
      <c r="M24" s="18">
        <f>L24+J24+H24</f>
        <v>0</v>
      </c>
    </row>
    <row r="25" spans="1:13" ht="14.25" customHeight="1">
      <c r="A25" s="10"/>
      <c r="B25" s="22" t="s">
        <v>183</v>
      </c>
      <c r="C25" s="16" t="s">
        <v>45</v>
      </c>
      <c r="D25" s="17" t="s">
        <v>33</v>
      </c>
      <c r="E25" s="14">
        <v>4.48E-2</v>
      </c>
      <c r="F25" s="18">
        <f>E25*F23</f>
        <v>1.0662400000000001</v>
      </c>
      <c r="G25" s="14"/>
      <c r="H25" s="18"/>
      <c r="I25" s="14"/>
      <c r="J25" s="14"/>
      <c r="K25" s="14">
        <v>0</v>
      </c>
      <c r="L25" s="18">
        <f>K25*F25</f>
        <v>0</v>
      </c>
      <c r="M25" s="18">
        <f t="shared" ref="M25:M26" si="1">L25+J25+H25</f>
        <v>0</v>
      </c>
    </row>
    <row r="26" spans="1:13" ht="14.25" customHeight="1">
      <c r="A26" s="10"/>
      <c r="B26" s="15"/>
      <c r="C26" s="16" t="s">
        <v>74</v>
      </c>
      <c r="D26" s="17" t="s">
        <v>15</v>
      </c>
      <c r="E26" s="14">
        <v>2.0999999999999999E-3</v>
      </c>
      <c r="F26" s="18">
        <f>E26*F23</f>
        <v>4.9979999999999997E-2</v>
      </c>
      <c r="G26" s="14"/>
      <c r="H26" s="18"/>
      <c r="I26" s="14"/>
      <c r="J26" s="14"/>
      <c r="K26" s="14">
        <v>0</v>
      </c>
      <c r="L26" s="18">
        <f>K26*F26</f>
        <v>0</v>
      </c>
      <c r="M26" s="18">
        <f t="shared" si="1"/>
        <v>0</v>
      </c>
    </row>
    <row r="27" spans="1:13" ht="25.5" customHeight="1">
      <c r="A27" s="10">
        <v>7</v>
      </c>
      <c r="B27" s="11" t="s">
        <v>265</v>
      </c>
      <c r="C27" s="12" t="s">
        <v>52</v>
      </c>
      <c r="D27" s="10" t="s">
        <v>18</v>
      </c>
      <c r="E27" s="10"/>
      <c r="F27" s="21">
        <f>F23*1.95</f>
        <v>46.410000000000004</v>
      </c>
      <c r="G27" s="14"/>
      <c r="H27" s="14"/>
      <c r="I27" s="14"/>
      <c r="J27" s="14"/>
      <c r="K27" s="14"/>
      <c r="L27" s="14"/>
      <c r="M27" s="14"/>
    </row>
    <row r="28" spans="1:13" ht="14.25" customHeight="1">
      <c r="A28" s="10"/>
      <c r="B28" s="15"/>
      <c r="C28" s="16" t="s">
        <v>17</v>
      </c>
      <c r="D28" s="17" t="s">
        <v>39</v>
      </c>
      <c r="E28" s="14">
        <v>1</v>
      </c>
      <c r="F28" s="18">
        <f>E28*F27</f>
        <v>46.410000000000004</v>
      </c>
      <c r="G28" s="14"/>
      <c r="H28" s="18"/>
      <c r="I28" s="14"/>
      <c r="J28" s="14"/>
      <c r="K28" s="14">
        <v>0</v>
      </c>
      <c r="L28" s="18">
        <f>K28*F28</f>
        <v>0</v>
      </c>
      <c r="M28" s="18">
        <f>L28+J28+H28</f>
        <v>0</v>
      </c>
    </row>
    <row r="29" spans="1:13" ht="25.5" customHeight="1">
      <c r="A29" s="10">
        <v>8</v>
      </c>
      <c r="B29" s="11" t="s">
        <v>189</v>
      </c>
      <c r="C29" s="12" t="s">
        <v>188</v>
      </c>
      <c r="D29" s="10" t="s">
        <v>91</v>
      </c>
      <c r="E29" s="10"/>
      <c r="F29" s="13">
        <v>49.7</v>
      </c>
      <c r="G29" s="14"/>
      <c r="H29" s="14"/>
      <c r="I29" s="14"/>
      <c r="J29" s="14"/>
      <c r="K29" s="14"/>
      <c r="L29" s="14"/>
      <c r="M29" s="14"/>
    </row>
    <row r="30" spans="1:13" ht="14.25" customHeight="1">
      <c r="A30" s="10"/>
      <c r="B30" s="15"/>
      <c r="C30" s="16" t="s">
        <v>191</v>
      </c>
      <c r="D30" s="17" t="s">
        <v>14</v>
      </c>
      <c r="E30" s="14">
        <f>0.744+0.173*20</f>
        <v>4.2039999999999997</v>
      </c>
      <c r="F30" s="18">
        <f>E30*F29</f>
        <v>208.93879999999999</v>
      </c>
      <c r="G30" s="14">
        <v>0</v>
      </c>
      <c r="H30" s="18">
        <f>G30*F30</f>
        <v>0</v>
      </c>
      <c r="I30" s="14"/>
      <c r="J30" s="14"/>
      <c r="K30" s="14"/>
      <c r="L30" s="14"/>
      <c r="M30" s="18">
        <f>L30+J30+H30</f>
        <v>0</v>
      </c>
    </row>
    <row r="31" spans="1:13" ht="14.25" customHeight="1">
      <c r="A31" s="10"/>
      <c r="B31" s="15"/>
      <c r="C31" s="16" t="s">
        <v>190</v>
      </c>
      <c r="D31" s="17" t="s">
        <v>15</v>
      </c>
      <c r="E31" s="14">
        <f>0.279+0.065*20</f>
        <v>1.5790000000000002</v>
      </c>
      <c r="F31" s="18">
        <f>E31*F29</f>
        <v>78.476300000000009</v>
      </c>
      <c r="G31" s="14"/>
      <c r="H31" s="18"/>
      <c r="I31" s="14"/>
      <c r="J31" s="14"/>
      <c r="K31" s="14">
        <v>0</v>
      </c>
      <c r="L31" s="18">
        <f>K31*F31</f>
        <v>0</v>
      </c>
      <c r="M31" s="18">
        <f>L31+J31+H31</f>
        <v>0</v>
      </c>
    </row>
    <row r="32" spans="1:13" ht="25.5" customHeight="1">
      <c r="A32" s="10">
        <v>9</v>
      </c>
      <c r="B32" s="11" t="s">
        <v>184</v>
      </c>
      <c r="C32" s="20" t="s">
        <v>185</v>
      </c>
      <c r="D32" s="10" t="s">
        <v>19</v>
      </c>
      <c r="E32" s="10"/>
      <c r="F32" s="10">
        <f>6.12*2</f>
        <v>12.24</v>
      </c>
      <c r="G32" s="14"/>
      <c r="H32" s="14"/>
      <c r="I32" s="14"/>
      <c r="J32" s="14"/>
      <c r="K32" s="14"/>
      <c r="L32" s="14"/>
      <c r="M32" s="18"/>
    </row>
    <row r="33" spans="1:13" ht="14.25" customHeight="1">
      <c r="A33" s="10"/>
      <c r="B33" s="15"/>
      <c r="C33" s="16" t="s">
        <v>17</v>
      </c>
      <c r="D33" s="17" t="s">
        <v>14</v>
      </c>
      <c r="E33" s="14">
        <v>0.89</v>
      </c>
      <c r="F33" s="18">
        <f>E33*F32</f>
        <v>10.893600000000001</v>
      </c>
      <c r="G33" s="14">
        <v>0</v>
      </c>
      <c r="H33" s="18">
        <f>G33*F33</f>
        <v>0</v>
      </c>
      <c r="I33" s="14"/>
      <c r="J33" s="14"/>
      <c r="K33" s="14"/>
      <c r="L33" s="14"/>
      <c r="M33" s="18">
        <f t="shared" ref="M33:M36" si="2">L33+J33+H33</f>
        <v>0</v>
      </c>
    </row>
    <row r="34" spans="1:13" ht="14.25" customHeight="1">
      <c r="A34" s="24"/>
      <c r="B34" s="15"/>
      <c r="C34" s="16" t="s">
        <v>22</v>
      </c>
      <c r="D34" s="17" t="s">
        <v>15</v>
      </c>
      <c r="E34" s="18">
        <v>0.37</v>
      </c>
      <c r="F34" s="23">
        <f>E34*F32</f>
        <v>4.5288000000000004</v>
      </c>
      <c r="G34" s="14"/>
      <c r="H34" s="14"/>
      <c r="I34" s="14"/>
      <c r="J34" s="18"/>
      <c r="K34" s="14">
        <v>0</v>
      </c>
      <c r="L34" s="18">
        <f>K34*F34</f>
        <v>0</v>
      </c>
      <c r="M34" s="18">
        <f t="shared" si="2"/>
        <v>0</v>
      </c>
    </row>
    <row r="35" spans="1:13" ht="14.25" customHeight="1">
      <c r="A35" s="24"/>
      <c r="B35" s="25" t="s">
        <v>187</v>
      </c>
      <c r="C35" s="16" t="s">
        <v>186</v>
      </c>
      <c r="D35" s="17" t="s">
        <v>19</v>
      </c>
      <c r="E35" s="18">
        <v>1.1499999999999999</v>
      </c>
      <c r="F35" s="23">
        <f>E35*F32</f>
        <v>14.075999999999999</v>
      </c>
      <c r="G35" s="14"/>
      <c r="H35" s="14"/>
      <c r="I35" s="14">
        <v>0</v>
      </c>
      <c r="J35" s="18">
        <f>I35*F35</f>
        <v>0</v>
      </c>
      <c r="K35" s="14"/>
      <c r="L35" s="18"/>
      <c r="M35" s="18">
        <f t="shared" si="2"/>
        <v>0</v>
      </c>
    </row>
    <row r="36" spans="1:13" ht="14.25" customHeight="1">
      <c r="A36" s="24"/>
      <c r="B36" s="15"/>
      <c r="C36" s="16" t="s">
        <v>16</v>
      </c>
      <c r="D36" s="17" t="s">
        <v>15</v>
      </c>
      <c r="E36" s="18">
        <v>0.02</v>
      </c>
      <c r="F36" s="23">
        <f>E36*F32</f>
        <v>0.24480000000000002</v>
      </c>
      <c r="G36" s="14"/>
      <c r="H36" s="14"/>
      <c r="I36" s="14">
        <v>0</v>
      </c>
      <c r="J36" s="18">
        <f>I36*F36</f>
        <v>0</v>
      </c>
      <c r="K36" s="14"/>
      <c r="L36" s="14"/>
      <c r="M36" s="18">
        <f t="shared" si="2"/>
        <v>0</v>
      </c>
    </row>
    <row r="37" spans="1:13" ht="25.5" customHeight="1">
      <c r="A37" s="10">
        <v>10</v>
      </c>
      <c r="B37" s="11" t="s">
        <v>76</v>
      </c>
      <c r="C37" s="20" t="s">
        <v>266</v>
      </c>
      <c r="D37" s="10" t="s">
        <v>19</v>
      </c>
      <c r="E37" s="10"/>
      <c r="F37" s="10">
        <v>6.21</v>
      </c>
      <c r="G37" s="14"/>
      <c r="H37" s="14"/>
      <c r="I37" s="14"/>
      <c r="J37" s="14"/>
      <c r="K37" s="14"/>
      <c r="L37" s="14"/>
      <c r="M37" s="18"/>
    </row>
    <row r="38" spans="1:13" ht="14.25" customHeight="1">
      <c r="A38" s="10"/>
      <c r="B38" s="15"/>
      <c r="C38" s="16" t="s">
        <v>149</v>
      </c>
      <c r="D38" s="17" t="s">
        <v>14</v>
      </c>
      <c r="E38" s="14">
        <f>1.37*1.15</f>
        <v>1.5754999999999999</v>
      </c>
      <c r="F38" s="18">
        <f>E38*F37</f>
        <v>9.7838549999999991</v>
      </c>
      <c r="G38" s="14">
        <v>0</v>
      </c>
      <c r="H38" s="18">
        <f>G38*F38</f>
        <v>0</v>
      </c>
      <c r="I38" s="14"/>
      <c r="J38" s="14"/>
      <c r="K38" s="14"/>
      <c r="L38" s="14"/>
      <c r="M38" s="18">
        <f t="shared" ref="M38:M41" si="3">L38+J38+H38</f>
        <v>0</v>
      </c>
    </row>
    <row r="39" spans="1:13" ht="14.25" customHeight="1">
      <c r="A39" s="24"/>
      <c r="B39" s="15"/>
      <c r="C39" s="16" t="s">
        <v>150</v>
      </c>
      <c r="D39" s="17" t="s">
        <v>15</v>
      </c>
      <c r="E39" s="18">
        <f>0.283*1.25</f>
        <v>0.35374999999999995</v>
      </c>
      <c r="F39" s="23">
        <f>E39*F37</f>
        <v>2.1967874999999997</v>
      </c>
      <c r="G39" s="14"/>
      <c r="H39" s="14"/>
      <c r="I39" s="14"/>
      <c r="J39" s="18"/>
      <c r="K39" s="14">
        <v>0</v>
      </c>
      <c r="L39" s="18">
        <f>K39*F39</f>
        <v>0</v>
      </c>
      <c r="M39" s="18">
        <f t="shared" si="3"/>
        <v>0</v>
      </c>
    </row>
    <row r="40" spans="1:13" ht="14.25" customHeight="1">
      <c r="A40" s="24"/>
      <c r="B40" s="25" t="s">
        <v>75</v>
      </c>
      <c r="C40" s="16" t="s">
        <v>267</v>
      </c>
      <c r="D40" s="17" t="s">
        <v>19</v>
      </c>
      <c r="E40" s="18">
        <v>1.02</v>
      </c>
      <c r="F40" s="23">
        <f>E40*F37</f>
        <v>6.3342000000000001</v>
      </c>
      <c r="G40" s="14"/>
      <c r="H40" s="14"/>
      <c r="I40" s="14">
        <v>0</v>
      </c>
      <c r="J40" s="18">
        <f>I40*F40</f>
        <v>0</v>
      </c>
      <c r="K40" s="14"/>
      <c r="L40" s="18"/>
      <c r="M40" s="18">
        <f t="shared" si="3"/>
        <v>0</v>
      </c>
    </row>
    <row r="41" spans="1:13" ht="14.25" customHeight="1">
      <c r="A41" s="24"/>
      <c r="B41" s="15"/>
      <c r="C41" s="16" t="s">
        <v>16</v>
      </c>
      <c r="D41" s="17" t="s">
        <v>15</v>
      </c>
      <c r="E41" s="18">
        <v>0.62</v>
      </c>
      <c r="F41" s="23">
        <f>E41*F37</f>
        <v>3.8502000000000001</v>
      </c>
      <c r="G41" s="14"/>
      <c r="H41" s="14"/>
      <c r="I41" s="14">
        <v>0</v>
      </c>
      <c r="J41" s="18">
        <f>I41*F41</f>
        <v>0</v>
      </c>
      <c r="K41" s="14"/>
      <c r="L41" s="14"/>
      <c r="M41" s="18">
        <f t="shared" si="3"/>
        <v>0</v>
      </c>
    </row>
    <row r="42" spans="1:13" ht="25.5" customHeight="1">
      <c r="A42" s="10">
        <v>11</v>
      </c>
      <c r="B42" s="11" t="s">
        <v>144</v>
      </c>
      <c r="C42" s="20" t="s">
        <v>143</v>
      </c>
      <c r="D42" s="10" t="s">
        <v>21</v>
      </c>
      <c r="E42" s="10"/>
      <c r="F42" s="10">
        <v>0.64</v>
      </c>
      <c r="G42" s="14"/>
      <c r="H42" s="14"/>
      <c r="I42" s="14"/>
      <c r="J42" s="14"/>
      <c r="K42" s="14"/>
      <c r="L42" s="14"/>
      <c r="M42" s="18"/>
    </row>
    <row r="43" spans="1:13" ht="14.25" customHeight="1">
      <c r="A43" s="10"/>
      <c r="B43" s="15"/>
      <c r="C43" s="16" t="s">
        <v>147</v>
      </c>
      <c r="D43" s="17" t="s">
        <v>14</v>
      </c>
      <c r="E43" s="14">
        <f>19.7*1.15</f>
        <v>22.654999999999998</v>
      </c>
      <c r="F43" s="18">
        <f>E43*F42</f>
        <v>14.499199999999998</v>
      </c>
      <c r="G43" s="14">
        <v>0</v>
      </c>
      <c r="H43" s="18">
        <f>G43*F43</f>
        <v>0</v>
      </c>
      <c r="I43" s="14"/>
      <c r="J43" s="14"/>
      <c r="K43" s="14"/>
      <c r="L43" s="14"/>
      <c r="M43" s="18">
        <f t="shared" ref="M43:M48" si="4">L43+J43+H43</f>
        <v>0</v>
      </c>
    </row>
    <row r="44" spans="1:13" ht="14.25" customHeight="1">
      <c r="A44" s="24"/>
      <c r="B44" s="15"/>
      <c r="C44" s="16" t="s">
        <v>148</v>
      </c>
      <c r="D44" s="17" t="s">
        <v>15</v>
      </c>
      <c r="E44" s="18">
        <f>4.37*1.25</f>
        <v>5.4625000000000004</v>
      </c>
      <c r="F44" s="23">
        <f>E44*F42</f>
        <v>3.4960000000000004</v>
      </c>
      <c r="G44" s="14"/>
      <c r="H44" s="14"/>
      <c r="I44" s="14"/>
      <c r="J44" s="18"/>
      <c r="K44" s="14">
        <v>0</v>
      </c>
      <c r="L44" s="18">
        <f>K44*F44</f>
        <v>0</v>
      </c>
      <c r="M44" s="18">
        <f t="shared" si="4"/>
        <v>0</v>
      </c>
    </row>
    <row r="45" spans="1:13" ht="14.25" customHeight="1">
      <c r="A45" s="24"/>
      <c r="B45" s="25" t="s">
        <v>115</v>
      </c>
      <c r="C45" s="16" t="s">
        <v>34</v>
      </c>
      <c r="D45" s="17" t="s">
        <v>19</v>
      </c>
      <c r="E45" s="18">
        <v>2.5</v>
      </c>
      <c r="F45" s="23">
        <f>E45*F42</f>
        <v>1.6</v>
      </c>
      <c r="G45" s="14"/>
      <c r="H45" s="14"/>
      <c r="I45" s="14">
        <v>0</v>
      </c>
      <c r="J45" s="18">
        <f>I45*F45</f>
        <v>0</v>
      </c>
      <c r="K45" s="14"/>
      <c r="L45" s="18"/>
      <c r="M45" s="18">
        <f t="shared" si="4"/>
        <v>0</v>
      </c>
    </row>
    <row r="46" spans="1:13" ht="14.25" customHeight="1">
      <c r="A46" s="24"/>
      <c r="B46" s="25" t="s">
        <v>67</v>
      </c>
      <c r="C46" s="16" t="s">
        <v>66</v>
      </c>
      <c r="D46" s="17" t="s">
        <v>23</v>
      </c>
      <c r="E46" s="18">
        <v>220</v>
      </c>
      <c r="F46" s="18">
        <f>E46*F42</f>
        <v>140.80000000000001</v>
      </c>
      <c r="G46" s="14"/>
      <c r="H46" s="14"/>
      <c r="I46" s="14">
        <v>0</v>
      </c>
      <c r="J46" s="18">
        <f>I46*F46</f>
        <v>0</v>
      </c>
      <c r="K46" s="14"/>
      <c r="L46" s="18"/>
      <c r="M46" s="18">
        <f t="shared" si="4"/>
        <v>0</v>
      </c>
    </row>
    <row r="47" spans="1:13" ht="14.25" customHeight="1">
      <c r="A47" s="24"/>
      <c r="B47" s="25" t="s">
        <v>114</v>
      </c>
      <c r="C47" s="16" t="s">
        <v>57</v>
      </c>
      <c r="D47" s="17" t="s">
        <v>18</v>
      </c>
      <c r="E47" s="18">
        <v>0.42</v>
      </c>
      <c r="F47" s="23">
        <f>E47*F42</f>
        <v>0.26879999999999998</v>
      </c>
      <c r="G47" s="14"/>
      <c r="H47" s="14"/>
      <c r="I47" s="14">
        <v>0</v>
      </c>
      <c r="J47" s="18">
        <f>I47*F47</f>
        <v>0</v>
      </c>
      <c r="K47" s="14"/>
      <c r="L47" s="18"/>
      <c r="M47" s="18">
        <f t="shared" si="4"/>
        <v>0</v>
      </c>
    </row>
    <row r="48" spans="1:13" ht="14.25" customHeight="1">
      <c r="A48" s="24"/>
      <c r="B48" s="15"/>
      <c r="C48" s="16" t="s">
        <v>16</v>
      </c>
      <c r="D48" s="17" t="s">
        <v>15</v>
      </c>
      <c r="E48" s="18">
        <v>7.2</v>
      </c>
      <c r="F48" s="23">
        <f>E48*F42</f>
        <v>4.6080000000000005</v>
      </c>
      <c r="G48" s="14"/>
      <c r="H48" s="14"/>
      <c r="I48" s="14">
        <v>0</v>
      </c>
      <c r="J48" s="18">
        <f>I48*F48</f>
        <v>0</v>
      </c>
      <c r="K48" s="14"/>
      <c r="L48" s="14"/>
      <c r="M48" s="18">
        <f t="shared" si="4"/>
        <v>0</v>
      </c>
    </row>
    <row r="49" spans="1:13" ht="25.5" customHeight="1">
      <c r="A49" s="10">
        <v>12</v>
      </c>
      <c r="B49" s="11" t="s">
        <v>70</v>
      </c>
      <c r="C49" s="12" t="s">
        <v>109</v>
      </c>
      <c r="D49" s="10" t="s">
        <v>19</v>
      </c>
      <c r="E49" s="10"/>
      <c r="F49" s="10">
        <v>18.64</v>
      </c>
      <c r="G49" s="14"/>
      <c r="H49" s="14"/>
      <c r="I49" s="14"/>
      <c r="J49" s="14"/>
      <c r="K49" s="14"/>
      <c r="L49" s="14"/>
      <c r="M49" s="14"/>
    </row>
    <row r="50" spans="1:13" ht="14.25" customHeight="1">
      <c r="A50" s="26"/>
      <c r="B50" s="27"/>
      <c r="C50" s="28" t="s">
        <v>17</v>
      </c>
      <c r="D50" s="29" t="s">
        <v>14</v>
      </c>
      <c r="E50" s="30">
        <v>20.399999999999999</v>
      </c>
      <c r="F50" s="31">
        <f>E50*F49</f>
        <v>380.25599999999997</v>
      </c>
      <c r="G50" s="30">
        <v>0</v>
      </c>
      <c r="H50" s="31">
        <f>G50*F50</f>
        <v>0</v>
      </c>
      <c r="I50" s="30"/>
      <c r="J50" s="30"/>
      <c r="K50" s="30"/>
      <c r="L50" s="30"/>
      <c r="M50" s="31">
        <f>L50+J50+H50</f>
        <v>0</v>
      </c>
    </row>
    <row r="51" spans="1:13" ht="14.25" customHeight="1">
      <c r="A51" s="26"/>
      <c r="B51" s="27"/>
      <c r="C51" s="28" t="s">
        <v>22</v>
      </c>
      <c r="D51" s="29" t="s">
        <v>15</v>
      </c>
      <c r="E51" s="30">
        <v>2.5299999999999998</v>
      </c>
      <c r="F51" s="31">
        <f>E51*F49</f>
        <v>47.159199999999998</v>
      </c>
      <c r="G51" s="30"/>
      <c r="H51" s="30"/>
      <c r="I51" s="30"/>
      <c r="J51" s="30"/>
      <c r="K51" s="30">
        <v>0</v>
      </c>
      <c r="L51" s="31">
        <f>K51*F51</f>
        <v>0</v>
      </c>
      <c r="M51" s="31">
        <f t="shared" ref="M51:M62" si="5">L51+J51+H51</f>
        <v>0</v>
      </c>
    </row>
    <row r="52" spans="1:13" ht="14.25" customHeight="1">
      <c r="A52" s="26"/>
      <c r="B52" s="32" t="s">
        <v>110</v>
      </c>
      <c r="C52" s="28" t="s">
        <v>268</v>
      </c>
      <c r="D52" s="29" t="s">
        <v>18</v>
      </c>
      <c r="E52" s="30"/>
      <c r="F52" s="33">
        <v>6.515E-2</v>
      </c>
      <c r="G52" s="30"/>
      <c r="H52" s="31"/>
      <c r="I52" s="30">
        <v>0</v>
      </c>
      <c r="J52" s="31">
        <f>I52*F52</f>
        <v>0</v>
      </c>
      <c r="K52" s="30"/>
      <c r="L52" s="31"/>
      <c r="M52" s="31">
        <f t="shared" si="5"/>
        <v>0</v>
      </c>
    </row>
    <row r="53" spans="1:13" ht="14.25" customHeight="1">
      <c r="A53" s="26"/>
      <c r="B53" s="32" t="s">
        <v>111</v>
      </c>
      <c r="C53" s="28" t="s">
        <v>269</v>
      </c>
      <c r="D53" s="29" t="s">
        <v>18</v>
      </c>
      <c r="E53" s="30"/>
      <c r="F53" s="33">
        <v>2.1954199999999999</v>
      </c>
      <c r="G53" s="30"/>
      <c r="H53" s="30"/>
      <c r="I53" s="30">
        <v>0</v>
      </c>
      <c r="J53" s="31">
        <f>I53*F53</f>
        <v>0</v>
      </c>
      <c r="K53" s="30"/>
      <c r="L53" s="31"/>
      <c r="M53" s="31">
        <f t="shared" si="5"/>
        <v>0</v>
      </c>
    </row>
    <row r="54" spans="1:13" ht="14.25" customHeight="1">
      <c r="A54" s="26"/>
      <c r="B54" s="32" t="s">
        <v>112</v>
      </c>
      <c r="C54" s="28" t="s">
        <v>270</v>
      </c>
      <c r="D54" s="29" t="s">
        <v>19</v>
      </c>
      <c r="E54" s="30">
        <v>1.02</v>
      </c>
      <c r="F54" s="31">
        <f>E54*F49</f>
        <v>19.012800000000002</v>
      </c>
      <c r="G54" s="30"/>
      <c r="H54" s="30"/>
      <c r="I54" s="30">
        <v>0</v>
      </c>
      <c r="J54" s="31">
        <f>I54*F54</f>
        <v>0</v>
      </c>
      <c r="K54" s="30"/>
      <c r="L54" s="31"/>
      <c r="M54" s="31">
        <f t="shared" si="5"/>
        <v>0</v>
      </c>
    </row>
    <row r="55" spans="1:13" ht="14.25" customHeight="1">
      <c r="A55" s="26"/>
      <c r="B55" s="32" t="s">
        <v>44</v>
      </c>
      <c r="C55" s="28" t="s">
        <v>31</v>
      </c>
      <c r="D55" s="29" t="s">
        <v>24</v>
      </c>
      <c r="E55" s="30">
        <v>5.84</v>
      </c>
      <c r="F55" s="31">
        <f>E55*F49</f>
        <v>108.85760000000001</v>
      </c>
      <c r="G55" s="30"/>
      <c r="H55" s="30"/>
      <c r="I55" s="30">
        <v>0</v>
      </c>
      <c r="J55" s="31">
        <f t="shared" ref="J55:J62" si="6">I55*F55</f>
        <v>0</v>
      </c>
      <c r="K55" s="30"/>
      <c r="L55" s="31"/>
      <c r="M55" s="31">
        <f t="shared" si="5"/>
        <v>0</v>
      </c>
    </row>
    <row r="56" spans="1:13" ht="14.25" customHeight="1">
      <c r="A56" s="26"/>
      <c r="B56" s="32" t="s">
        <v>113</v>
      </c>
      <c r="C56" s="28" t="s">
        <v>40</v>
      </c>
      <c r="D56" s="29" t="s">
        <v>23</v>
      </c>
      <c r="E56" s="30">
        <v>1.59</v>
      </c>
      <c r="F56" s="31">
        <f>E56*F49</f>
        <v>29.637600000000003</v>
      </c>
      <c r="G56" s="30"/>
      <c r="H56" s="30"/>
      <c r="I56" s="30">
        <v>0</v>
      </c>
      <c r="J56" s="31">
        <f t="shared" si="6"/>
        <v>0</v>
      </c>
      <c r="K56" s="30"/>
      <c r="L56" s="31"/>
      <c r="M56" s="31">
        <f t="shared" si="5"/>
        <v>0</v>
      </c>
    </row>
    <row r="57" spans="1:13" ht="14.25" customHeight="1">
      <c r="A57" s="26"/>
      <c r="B57" s="32" t="s">
        <v>42</v>
      </c>
      <c r="C57" s="28" t="s">
        <v>41</v>
      </c>
      <c r="D57" s="29" t="s">
        <v>19</v>
      </c>
      <c r="E57" s="30">
        <v>0.26</v>
      </c>
      <c r="F57" s="31">
        <f>E57*F49</f>
        <v>4.8464</v>
      </c>
      <c r="G57" s="30"/>
      <c r="H57" s="30"/>
      <c r="I57" s="30">
        <v>0</v>
      </c>
      <c r="J57" s="31">
        <f t="shared" si="6"/>
        <v>0</v>
      </c>
      <c r="K57" s="30"/>
      <c r="L57" s="31"/>
      <c r="M57" s="31">
        <f t="shared" si="5"/>
        <v>0</v>
      </c>
    </row>
    <row r="58" spans="1:13" ht="14.25" customHeight="1">
      <c r="A58" s="26"/>
      <c r="B58" s="32" t="s">
        <v>50</v>
      </c>
      <c r="C58" s="28" t="s">
        <v>271</v>
      </c>
      <c r="D58" s="29" t="s">
        <v>19</v>
      </c>
      <c r="E58" s="30">
        <v>0.05</v>
      </c>
      <c r="F58" s="31">
        <f>E58*F49</f>
        <v>0.93200000000000005</v>
      </c>
      <c r="G58" s="30"/>
      <c r="H58" s="30"/>
      <c r="I58" s="30">
        <v>0</v>
      </c>
      <c r="J58" s="31">
        <f t="shared" si="6"/>
        <v>0</v>
      </c>
      <c r="K58" s="30"/>
      <c r="L58" s="31"/>
      <c r="M58" s="31">
        <f t="shared" si="5"/>
        <v>0</v>
      </c>
    </row>
    <row r="59" spans="1:13" ht="14.25" customHeight="1">
      <c r="A59" s="26"/>
      <c r="B59" s="32" t="s">
        <v>53</v>
      </c>
      <c r="C59" s="28" t="s">
        <v>272</v>
      </c>
      <c r="D59" s="29" t="s">
        <v>19</v>
      </c>
      <c r="E59" s="30">
        <v>0.12</v>
      </c>
      <c r="F59" s="31">
        <f>E59*F49</f>
        <v>2.2368000000000001</v>
      </c>
      <c r="G59" s="30"/>
      <c r="H59" s="30"/>
      <c r="I59" s="30">
        <v>0</v>
      </c>
      <c r="J59" s="31">
        <f t="shared" si="6"/>
        <v>0</v>
      </c>
      <c r="K59" s="30"/>
      <c r="L59" s="31"/>
      <c r="M59" s="31">
        <f t="shared" si="5"/>
        <v>0</v>
      </c>
    </row>
    <row r="60" spans="1:13" ht="14.25" customHeight="1">
      <c r="A60" s="26"/>
      <c r="B60" s="32" t="s">
        <v>50</v>
      </c>
      <c r="C60" s="28" t="s">
        <v>273</v>
      </c>
      <c r="D60" s="29" t="s">
        <v>19</v>
      </c>
      <c r="E60" s="30">
        <v>0.17</v>
      </c>
      <c r="F60" s="31">
        <f>E60*F49</f>
        <v>3.1688000000000005</v>
      </c>
      <c r="G60" s="30"/>
      <c r="H60" s="30"/>
      <c r="I60" s="30">
        <v>0</v>
      </c>
      <c r="J60" s="31">
        <f t="shared" si="6"/>
        <v>0</v>
      </c>
      <c r="K60" s="30"/>
      <c r="L60" s="31"/>
      <c r="M60" s="31">
        <f t="shared" si="5"/>
        <v>0</v>
      </c>
    </row>
    <row r="61" spans="1:13" ht="14.25" customHeight="1">
      <c r="A61" s="26"/>
      <c r="B61" s="32" t="s">
        <v>65</v>
      </c>
      <c r="C61" s="28" t="s">
        <v>43</v>
      </c>
      <c r="D61" s="29" t="s">
        <v>24</v>
      </c>
      <c r="E61" s="30">
        <v>0.41</v>
      </c>
      <c r="F61" s="31">
        <f>E61*F49</f>
        <v>7.6423999999999994</v>
      </c>
      <c r="G61" s="30"/>
      <c r="H61" s="30"/>
      <c r="I61" s="30">
        <v>0</v>
      </c>
      <c r="J61" s="31">
        <f t="shared" si="6"/>
        <v>0</v>
      </c>
      <c r="K61" s="30"/>
      <c r="L61" s="31"/>
      <c r="M61" s="31">
        <f t="shared" si="5"/>
        <v>0</v>
      </c>
    </row>
    <row r="62" spans="1:13" ht="14.25" customHeight="1">
      <c r="A62" s="26"/>
      <c r="B62" s="27"/>
      <c r="C62" s="26" t="s">
        <v>16</v>
      </c>
      <c r="D62" s="30" t="s">
        <v>15</v>
      </c>
      <c r="E62" s="30">
        <v>1.02</v>
      </c>
      <c r="F62" s="31">
        <f>E62*F49</f>
        <v>19.012800000000002</v>
      </c>
      <c r="G62" s="30"/>
      <c r="H62" s="30"/>
      <c r="I62" s="30">
        <v>0</v>
      </c>
      <c r="J62" s="31">
        <f t="shared" si="6"/>
        <v>0</v>
      </c>
      <c r="K62" s="30"/>
      <c r="L62" s="30"/>
      <c r="M62" s="31">
        <f t="shared" si="5"/>
        <v>0</v>
      </c>
    </row>
    <row r="63" spans="1:13" ht="25.5" customHeight="1">
      <c r="A63" s="10">
        <v>13</v>
      </c>
      <c r="B63" s="11" t="s">
        <v>260</v>
      </c>
      <c r="C63" s="20" t="s">
        <v>259</v>
      </c>
      <c r="D63" s="10" t="s">
        <v>19</v>
      </c>
      <c r="E63" s="10"/>
      <c r="F63" s="10">
        <v>0.95</v>
      </c>
      <c r="G63" s="30"/>
      <c r="H63" s="30"/>
      <c r="I63" s="30"/>
      <c r="J63" s="30"/>
      <c r="K63" s="30"/>
      <c r="L63" s="30"/>
      <c r="M63" s="30"/>
    </row>
    <row r="64" spans="1:13" ht="14.25" customHeight="1">
      <c r="A64" s="26"/>
      <c r="B64" s="27"/>
      <c r="C64" s="28" t="s">
        <v>48</v>
      </c>
      <c r="D64" s="29" t="s">
        <v>14</v>
      </c>
      <c r="E64" s="30">
        <v>6.5</v>
      </c>
      <c r="F64" s="31">
        <f>E64*F63</f>
        <v>6.1749999999999998</v>
      </c>
      <c r="G64" s="30">
        <v>0</v>
      </c>
      <c r="H64" s="31">
        <f>G64*F64</f>
        <v>0</v>
      </c>
      <c r="I64" s="30"/>
      <c r="J64" s="30"/>
      <c r="K64" s="30"/>
      <c r="L64" s="30"/>
      <c r="M64" s="31">
        <f>H64</f>
        <v>0</v>
      </c>
    </row>
    <row r="65" spans="1:13" ht="14.25" customHeight="1">
      <c r="A65" s="24"/>
      <c r="B65" s="15"/>
      <c r="C65" s="16" t="s">
        <v>49</v>
      </c>
      <c r="D65" s="29" t="s">
        <v>15</v>
      </c>
      <c r="E65" s="30">
        <v>1.8</v>
      </c>
      <c r="F65" s="31">
        <f>E65*F63</f>
        <v>1.71</v>
      </c>
      <c r="G65" s="30"/>
      <c r="H65" s="30"/>
      <c r="I65" s="30"/>
      <c r="J65" s="30"/>
      <c r="K65" s="30">
        <v>0</v>
      </c>
      <c r="L65" s="31">
        <f>K65*F65</f>
        <v>0</v>
      </c>
      <c r="M65" s="31">
        <f>L65</f>
        <v>0</v>
      </c>
    </row>
    <row r="66" spans="1:13" ht="25.5" customHeight="1">
      <c r="A66" s="10">
        <v>14</v>
      </c>
      <c r="B66" s="34" t="s">
        <v>84</v>
      </c>
      <c r="C66" s="12" t="s">
        <v>83</v>
      </c>
      <c r="D66" s="10" t="s">
        <v>18</v>
      </c>
      <c r="E66" s="10"/>
      <c r="F66" s="35">
        <v>3.2613599999999998</v>
      </c>
      <c r="G66" s="30"/>
      <c r="H66" s="30"/>
      <c r="I66" s="30"/>
      <c r="J66" s="30"/>
      <c r="K66" s="30"/>
      <c r="L66" s="30"/>
      <c r="M66" s="30"/>
    </row>
    <row r="67" spans="1:13" ht="14.25" customHeight="1">
      <c r="A67" s="26"/>
      <c r="B67" s="27"/>
      <c r="C67" s="28" t="s">
        <v>17</v>
      </c>
      <c r="D67" s="29" t="s">
        <v>14</v>
      </c>
      <c r="E67" s="30">
        <v>170</v>
      </c>
      <c r="F67" s="31">
        <f>E67*F66</f>
        <v>554.43119999999999</v>
      </c>
      <c r="G67" s="30">
        <v>0</v>
      </c>
      <c r="H67" s="31">
        <f>G67*F67</f>
        <v>0</v>
      </c>
      <c r="I67" s="30"/>
      <c r="J67" s="30"/>
      <c r="K67" s="30"/>
      <c r="L67" s="30"/>
      <c r="M67" s="31">
        <f>H67</f>
        <v>0</v>
      </c>
    </row>
    <row r="68" spans="1:13" ht="14.25" customHeight="1">
      <c r="A68" s="26"/>
      <c r="B68" s="27"/>
      <c r="C68" s="28" t="s">
        <v>22</v>
      </c>
      <c r="D68" s="29" t="s">
        <v>15</v>
      </c>
      <c r="E68" s="30">
        <v>7.69</v>
      </c>
      <c r="F68" s="31">
        <f>E68*F66</f>
        <v>25.079858399999999</v>
      </c>
      <c r="G68" s="30"/>
      <c r="H68" s="30"/>
      <c r="I68" s="30"/>
      <c r="J68" s="30"/>
      <c r="K68" s="30">
        <v>0</v>
      </c>
      <c r="L68" s="31">
        <f>K68*F68</f>
        <v>0</v>
      </c>
      <c r="M68" s="31">
        <f>L68</f>
        <v>0</v>
      </c>
    </row>
    <row r="69" spans="1:13" ht="14.25" customHeight="1">
      <c r="A69" s="26"/>
      <c r="B69" s="32" t="s">
        <v>85</v>
      </c>
      <c r="C69" s="26" t="s">
        <v>192</v>
      </c>
      <c r="D69" s="30" t="s">
        <v>18</v>
      </c>
      <c r="E69" s="30" t="s">
        <v>56</v>
      </c>
      <c r="F69" s="33">
        <f>0.2784+2.11903</f>
        <v>2.3974299999999999</v>
      </c>
      <c r="G69" s="30"/>
      <c r="H69" s="30"/>
      <c r="I69" s="30">
        <v>0</v>
      </c>
      <c r="J69" s="31">
        <f>I69*F69</f>
        <v>0</v>
      </c>
      <c r="K69" s="30"/>
      <c r="L69" s="30"/>
      <c r="M69" s="31">
        <f>J69</f>
        <v>0</v>
      </c>
    </row>
    <row r="70" spans="1:13" ht="14.25" customHeight="1">
      <c r="A70" s="26"/>
      <c r="B70" s="32" t="s">
        <v>86</v>
      </c>
      <c r="C70" s="26" t="s">
        <v>193</v>
      </c>
      <c r="D70" s="30" t="s">
        <v>18</v>
      </c>
      <c r="E70" s="30" t="s">
        <v>56</v>
      </c>
      <c r="F70" s="33">
        <f>0.1884+0.22789+0.08591+0.18086+0.08139+0.09948</f>
        <v>0.86393000000000009</v>
      </c>
      <c r="G70" s="30"/>
      <c r="H70" s="30"/>
      <c r="I70" s="30">
        <v>0</v>
      </c>
      <c r="J70" s="31">
        <f>I70*F70</f>
        <v>0</v>
      </c>
      <c r="K70" s="30"/>
      <c r="L70" s="30"/>
      <c r="M70" s="31">
        <f>J70</f>
        <v>0</v>
      </c>
    </row>
    <row r="71" spans="1:13" ht="14.25" customHeight="1">
      <c r="A71" s="26"/>
      <c r="B71" s="27"/>
      <c r="C71" s="26" t="s">
        <v>16</v>
      </c>
      <c r="D71" s="30" t="s">
        <v>15</v>
      </c>
      <c r="E71" s="30">
        <v>14.5</v>
      </c>
      <c r="F71" s="31">
        <f>E71*F66</f>
        <v>47.289719999999996</v>
      </c>
      <c r="G71" s="30"/>
      <c r="H71" s="30"/>
      <c r="I71" s="30">
        <v>0</v>
      </c>
      <c r="J71" s="31">
        <f t="shared" ref="J71" si="7">I71*F71</f>
        <v>0</v>
      </c>
      <c r="K71" s="30"/>
      <c r="L71" s="30"/>
      <c r="M71" s="31">
        <f t="shared" ref="M71" si="8">J71</f>
        <v>0</v>
      </c>
    </row>
    <row r="72" spans="1:13" ht="25.5" customHeight="1">
      <c r="A72" s="10">
        <v>15</v>
      </c>
      <c r="B72" s="11" t="s">
        <v>194</v>
      </c>
      <c r="C72" s="20" t="s">
        <v>195</v>
      </c>
      <c r="D72" s="10" t="s">
        <v>47</v>
      </c>
      <c r="E72" s="10"/>
      <c r="F72" s="10">
        <v>3.9</v>
      </c>
      <c r="G72" s="30"/>
      <c r="H72" s="30"/>
      <c r="I72" s="30"/>
      <c r="J72" s="30"/>
      <c r="K72" s="30"/>
      <c r="L72" s="30"/>
      <c r="M72" s="30"/>
    </row>
    <row r="73" spans="1:13" ht="14.25" customHeight="1">
      <c r="A73" s="26"/>
      <c r="B73" s="27"/>
      <c r="C73" s="28" t="s">
        <v>48</v>
      </c>
      <c r="D73" s="29" t="s">
        <v>14</v>
      </c>
      <c r="E73" s="30">
        <v>92</v>
      </c>
      <c r="F73" s="31">
        <f>E73*F72</f>
        <v>358.8</v>
      </c>
      <c r="G73" s="30">
        <v>0</v>
      </c>
      <c r="H73" s="31">
        <f>G73*F73</f>
        <v>0</v>
      </c>
      <c r="I73" s="30"/>
      <c r="J73" s="30"/>
      <c r="K73" s="30"/>
      <c r="L73" s="30"/>
      <c r="M73" s="31">
        <f>H73</f>
        <v>0</v>
      </c>
    </row>
    <row r="74" spans="1:13" ht="14.25" customHeight="1">
      <c r="A74" s="24"/>
      <c r="B74" s="15"/>
      <c r="C74" s="16" t="s">
        <v>49</v>
      </c>
      <c r="D74" s="29" t="s">
        <v>15</v>
      </c>
      <c r="E74" s="30">
        <v>56</v>
      </c>
      <c r="F74" s="31">
        <f>E74*F72</f>
        <v>218.4</v>
      </c>
      <c r="G74" s="30"/>
      <c r="H74" s="30"/>
      <c r="I74" s="30"/>
      <c r="J74" s="30"/>
      <c r="K74" s="30">
        <v>0</v>
      </c>
      <c r="L74" s="31">
        <f>K74*F74</f>
        <v>0</v>
      </c>
      <c r="M74" s="31">
        <f>L74</f>
        <v>0</v>
      </c>
    </row>
    <row r="75" spans="1:13" ht="25.5" customHeight="1">
      <c r="A75" s="10">
        <v>16</v>
      </c>
      <c r="B75" s="34" t="s">
        <v>197</v>
      </c>
      <c r="C75" s="12" t="s">
        <v>196</v>
      </c>
      <c r="D75" s="10" t="s">
        <v>94</v>
      </c>
      <c r="E75" s="10"/>
      <c r="F75" s="21">
        <v>500</v>
      </c>
      <c r="G75" s="30"/>
      <c r="H75" s="30"/>
      <c r="I75" s="30"/>
      <c r="J75" s="30"/>
      <c r="K75" s="30"/>
      <c r="L75" s="30"/>
      <c r="M75" s="30"/>
    </row>
    <row r="76" spans="1:13" ht="14.25" customHeight="1">
      <c r="A76" s="26"/>
      <c r="B76" s="27"/>
      <c r="C76" s="28" t="s">
        <v>198</v>
      </c>
      <c r="D76" s="29" t="s">
        <v>14</v>
      </c>
      <c r="E76" s="30">
        <f>0.223*1.15</f>
        <v>0.25645000000000001</v>
      </c>
      <c r="F76" s="31">
        <f>E76*F75</f>
        <v>128.22499999999999</v>
      </c>
      <c r="G76" s="30">
        <v>0</v>
      </c>
      <c r="H76" s="31">
        <f>G76*F76</f>
        <v>0</v>
      </c>
      <c r="I76" s="30"/>
      <c r="J76" s="30"/>
      <c r="K76" s="30"/>
      <c r="L76" s="30"/>
      <c r="M76" s="31">
        <f>H76</f>
        <v>0</v>
      </c>
    </row>
    <row r="77" spans="1:13" ht="14.25" customHeight="1">
      <c r="A77" s="26"/>
      <c r="B77" s="27"/>
      <c r="C77" s="28" t="s">
        <v>199</v>
      </c>
      <c r="D77" s="29" t="s">
        <v>15</v>
      </c>
      <c r="E77" s="30">
        <f>0.005*1.25</f>
        <v>6.2500000000000003E-3</v>
      </c>
      <c r="F77" s="31">
        <f>E77*F75</f>
        <v>3.125</v>
      </c>
      <c r="G77" s="30"/>
      <c r="H77" s="30"/>
      <c r="I77" s="30"/>
      <c r="J77" s="30"/>
      <c r="K77" s="30">
        <v>0</v>
      </c>
      <c r="L77" s="31">
        <f>K77*F77</f>
        <v>0</v>
      </c>
      <c r="M77" s="31">
        <f>L77</f>
        <v>0</v>
      </c>
    </row>
    <row r="78" spans="1:13" ht="14.25" customHeight="1">
      <c r="A78" s="26"/>
      <c r="B78" s="32" t="s">
        <v>110</v>
      </c>
      <c r="C78" s="28" t="s">
        <v>274</v>
      </c>
      <c r="D78" s="29" t="s">
        <v>18</v>
      </c>
      <c r="E78" s="30"/>
      <c r="F78" s="33">
        <v>5.5870000000000003E-2</v>
      </c>
      <c r="G78" s="30"/>
      <c r="H78" s="31"/>
      <c r="I78" s="30">
        <v>0</v>
      </c>
      <c r="J78" s="31">
        <f>I78*F78</f>
        <v>0</v>
      </c>
      <c r="K78" s="30"/>
      <c r="L78" s="31"/>
      <c r="M78" s="31">
        <f t="shared" ref="M78:M79" si="9">L78+J78+H78</f>
        <v>0</v>
      </c>
    </row>
    <row r="79" spans="1:13" ht="14.25" customHeight="1">
      <c r="A79" s="26"/>
      <c r="B79" s="32" t="s">
        <v>111</v>
      </c>
      <c r="C79" s="28" t="s">
        <v>275</v>
      </c>
      <c r="D79" s="29" t="s">
        <v>18</v>
      </c>
      <c r="E79" s="30"/>
      <c r="F79" s="33">
        <f>3.08994+0.03551</f>
        <v>3.1254499999999998</v>
      </c>
      <c r="G79" s="30"/>
      <c r="H79" s="30"/>
      <c r="I79" s="30">
        <v>0</v>
      </c>
      <c r="J79" s="31">
        <f>I79*F79</f>
        <v>0</v>
      </c>
      <c r="K79" s="30"/>
      <c r="L79" s="31"/>
      <c r="M79" s="31">
        <f t="shared" si="9"/>
        <v>0</v>
      </c>
    </row>
    <row r="80" spans="1:13" ht="14.25" customHeight="1">
      <c r="A80" s="26"/>
      <c r="B80" s="27"/>
      <c r="C80" s="26" t="s">
        <v>16</v>
      </c>
      <c r="D80" s="30" t="s">
        <v>15</v>
      </c>
      <c r="E80" s="30">
        <v>4.0000000000000001E-3</v>
      </c>
      <c r="F80" s="31">
        <f>E80*F75</f>
        <v>2</v>
      </c>
      <c r="G80" s="30"/>
      <c r="H80" s="30"/>
      <c r="I80" s="30">
        <v>0</v>
      </c>
      <c r="J80" s="31">
        <f t="shared" ref="J80" si="10">I80*F80</f>
        <v>0</v>
      </c>
      <c r="K80" s="30"/>
      <c r="L80" s="30"/>
      <c r="M80" s="31">
        <f t="shared" ref="M80" si="11">J80</f>
        <v>0</v>
      </c>
    </row>
    <row r="81" spans="1:13" ht="25.5" customHeight="1">
      <c r="A81" s="10">
        <v>17</v>
      </c>
      <c r="B81" s="34" t="s">
        <v>200</v>
      </c>
      <c r="C81" s="20" t="s">
        <v>205</v>
      </c>
      <c r="D81" s="10" t="s">
        <v>94</v>
      </c>
      <c r="E81" s="10"/>
      <c r="F81" s="21">
        <v>500</v>
      </c>
      <c r="G81" s="30"/>
      <c r="H81" s="30"/>
      <c r="I81" s="30"/>
      <c r="J81" s="30"/>
      <c r="K81" s="30"/>
      <c r="L81" s="30"/>
      <c r="M81" s="30"/>
    </row>
    <row r="82" spans="1:13" ht="14.25" customHeight="1">
      <c r="A82" s="26"/>
      <c r="B82" s="27"/>
      <c r="C82" s="28" t="s">
        <v>201</v>
      </c>
      <c r="D82" s="29" t="s">
        <v>14</v>
      </c>
      <c r="E82" s="30">
        <f>1.42*1.15*1.16</f>
        <v>1.8942799999999995</v>
      </c>
      <c r="F82" s="31">
        <f>E82*F81</f>
        <v>947.13999999999976</v>
      </c>
      <c r="G82" s="30">
        <v>0</v>
      </c>
      <c r="H82" s="31">
        <f>G82*F82</f>
        <v>0</v>
      </c>
      <c r="I82" s="30"/>
      <c r="J82" s="30"/>
      <c r="K82" s="30"/>
      <c r="L82" s="30"/>
      <c r="M82" s="31">
        <f>H82</f>
        <v>0</v>
      </c>
    </row>
    <row r="83" spans="1:13" ht="14.25" customHeight="1">
      <c r="A83" s="24"/>
      <c r="B83" s="15"/>
      <c r="C83" s="16" t="s">
        <v>202</v>
      </c>
      <c r="D83" s="29" t="s">
        <v>15</v>
      </c>
      <c r="E83" s="30">
        <f>0.069*1.25*1.15</f>
        <v>9.9187499999999998E-2</v>
      </c>
      <c r="F83" s="31">
        <f>E83*F81</f>
        <v>49.59375</v>
      </c>
      <c r="G83" s="30"/>
      <c r="H83" s="30"/>
      <c r="I83" s="30"/>
      <c r="J83" s="30"/>
      <c r="K83" s="30">
        <v>0</v>
      </c>
      <c r="L83" s="31">
        <f>K83*F83</f>
        <v>0</v>
      </c>
      <c r="M83" s="31">
        <f>L83</f>
        <v>0</v>
      </c>
    </row>
    <row r="84" spans="1:13" ht="14.25" customHeight="1">
      <c r="A84" s="24"/>
      <c r="B84" s="32" t="s">
        <v>206</v>
      </c>
      <c r="C84" s="16" t="s">
        <v>204</v>
      </c>
      <c r="D84" s="29" t="s">
        <v>92</v>
      </c>
      <c r="E84" s="14">
        <f>0.0417*1.05</f>
        <v>4.3785000000000004E-2</v>
      </c>
      <c r="F84" s="18">
        <f>E84*F81</f>
        <v>21.892500000000002</v>
      </c>
      <c r="G84" s="14"/>
      <c r="H84" s="18"/>
      <c r="I84" s="14">
        <v>0</v>
      </c>
      <c r="J84" s="18">
        <f>I84*F84</f>
        <v>0</v>
      </c>
      <c r="K84" s="14"/>
      <c r="L84" s="18"/>
      <c r="M84" s="18">
        <f>L84+J84+H84</f>
        <v>0</v>
      </c>
    </row>
    <row r="85" spans="1:13" ht="14.25" customHeight="1">
      <c r="A85" s="24"/>
      <c r="B85" s="15"/>
      <c r="C85" s="24" t="s">
        <v>203</v>
      </c>
      <c r="D85" s="30" t="s">
        <v>15</v>
      </c>
      <c r="E85" s="30">
        <f>0.003*1.05</f>
        <v>3.15E-3</v>
      </c>
      <c r="F85" s="31">
        <f>E85*F81</f>
        <v>1.575</v>
      </c>
      <c r="G85" s="30"/>
      <c r="H85" s="30"/>
      <c r="I85" s="30">
        <v>0</v>
      </c>
      <c r="J85" s="31">
        <f t="shared" ref="J85" si="12">I85*F85</f>
        <v>0</v>
      </c>
      <c r="K85" s="30"/>
      <c r="L85" s="30"/>
      <c r="M85" s="31">
        <f t="shared" ref="M85" si="13">J85</f>
        <v>0</v>
      </c>
    </row>
    <row r="86" spans="1:13">
      <c r="A86" s="10"/>
      <c r="B86" s="15"/>
      <c r="C86" s="16"/>
      <c r="D86" s="17"/>
      <c r="E86" s="14"/>
      <c r="F86" s="18"/>
      <c r="G86" s="14"/>
      <c r="H86" s="18"/>
      <c r="I86" s="14"/>
      <c r="J86" s="14"/>
      <c r="K86" s="14"/>
      <c r="L86" s="18"/>
      <c r="M86" s="18"/>
    </row>
    <row r="87" spans="1:13">
      <c r="A87" s="10"/>
      <c r="B87" s="15"/>
      <c r="C87" s="36" t="s">
        <v>207</v>
      </c>
      <c r="D87" s="17"/>
      <c r="E87" s="14"/>
      <c r="F87" s="18"/>
      <c r="G87" s="14"/>
      <c r="H87" s="18"/>
      <c r="I87" s="14"/>
      <c r="J87" s="14"/>
      <c r="K87" s="14"/>
      <c r="L87" s="18"/>
      <c r="M87" s="18"/>
    </row>
    <row r="88" spans="1:13" ht="25.5" customHeight="1">
      <c r="A88" s="10">
        <v>18</v>
      </c>
      <c r="B88" s="11" t="s">
        <v>184</v>
      </c>
      <c r="C88" s="20" t="s">
        <v>208</v>
      </c>
      <c r="D88" s="10" t="s">
        <v>19</v>
      </c>
      <c r="E88" s="10"/>
      <c r="F88" s="10">
        <v>0.57599999999999996</v>
      </c>
      <c r="G88" s="14"/>
      <c r="H88" s="14"/>
      <c r="I88" s="14"/>
      <c r="J88" s="14"/>
      <c r="K88" s="14"/>
      <c r="L88" s="14"/>
      <c r="M88" s="18"/>
    </row>
    <row r="89" spans="1:13" ht="14.25" customHeight="1">
      <c r="A89" s="10"/>
      <c r="B89" s="15"/>
      <c r="C89" s="16" t="s">
        <v>17</v>
      </c>
      <c r="D89" s="17" t="s">
        <v>14</v>
      </c>
      <c r="E89" s="14">
        <v>0.89</v>
      </c>
      <c r="F89" s="18">
        <f>E89*F88</f>
        <v>0.51263999999999998</v>
      </c>
      <c r="G89" s="14">
        <v>0</v>
      </c>
      <c r="H89" s="18">
        <f>G89*F89</f>
        <v>0</v>
      </c>
      <c r="I89" s="14"/>
      <c r="J89" s="14"/>
      <c r="K89" s="14"/>
      <c r="L89" s="14"/>
      <c r="M89" s="18">
        <f t="shared" ref="M89:M92" si="14">L89+J89+H89</f>
        <v>0</v>
      </c>
    </row>
    <row r="90" spans="1:13" ht="14.25" customHeight="1">
      <c r="A90" s="24"/>
      <c r="B90" s="15"/>
      <c r="C90" s="16" t="s">
        <v>22</v>
      </c>
      <c r="D90" s="17" t="s">
        <v>15</v>
      </c>
      <c r="E90" s="18">
        <v>0.37</v>
      </c>
      <c r="F90" s="23">
        <f>E90*F88</f>
        <v>0.21311999999999998</v>
      </c>
      <c r="G90" s="14"/>
      <c r="H90" s="14"/>
      <c r="I90" s="14"/>
      <c r="J90" s="18"/>
      <c r="K90" s="14">
        <v>0</v>
      </c>
      <c r="L90" s="18">
        <f>K90*F90</f>
        <v>0</v>
      </c>
      <c r="M90" s="18">
        <f t="shared" si="14"/>
        <v>0</v>
      </c>
    </row>
    <row r="91" spans="1:13" ht="14.25" customHeight="1">
      <c r="A91" s="24"/>
      <c r="B91" s="32" t="s">
        <v>187</v>
      </c>
      <c r="C91" s="16" t="s">
        <v>186</v>
      </c>
      <c r="D91" s="17" t="s">
        <v>19</v>
      </c>
      <c r="E91" s="18">
        <v>1.1499999999999999</v>
      </c>
      <c r="F91" s="23">
        <f>E91*F88</f>
        <v>0.66239999999999988</v>
      </c>
      <c r="G91" s="14"/>
      <c r="H91" s="14"/>
      <c r="I91" s="14">
        <v>0</v>
      </c>
      <c r="J91" s="18">
        <f>I91*F91</f>
        <v>0</v>
      </c>
      <c r="K91" s="14"/>
      <c r="L91" s="18"/>
      <c r="M91" s="18">
        <f t="shared" si="14"/>
        <v>0</v>
      </c>
    </row>
    <row r="92" spans="1:13" ht="14.25" customHeight="1">
      <c r="A92" s="24"/>
      <c r="B92" s="15"/>
      <c r="C92" s="16" t="s">
        <v>16</v>
      </c>
      <c r="D92" s="17" t="s">
        <v>15</v>
      </c>
      <c r="E92" s="18">
        <v>0.02</v>
      </c>
      <c r="F92" s="23">
        <f>E92*F88</f>
        <v>1.1519999999999999E-2</v>
      </c>
      <c r="G92" s="14"/>
      <c r="H92" s="14"/>
      <c r="I92" s="14">
        <v>0</v>
      </c>
      <c r="J92" s="18">
        <f>I92*F92</f>
        <v>0</v>
      </c>
      <c r="K92" s="14"/>
      <c r="L92" s="14"/>
      <c r="M92" s="18">
        <f t="shared" si="14"/>
        <v>0</v>
      </c>
    </row>
    <row r="93" spans="1:13" ht="25.5" customHeight="1">
      <c r="A93" s="10">
        <v>19</v>
      </c>
      <c r="B93" s="11" t="s">
        <v>209</v>
      </c>
      <c r="C93" s="20" t="s">
        <v>276</v>
      </c>
      <c r="D93" s="10" t="s">
        <v>19</v>
      </c>
      <c r="E93" s="10"/>
      <c r="F93" s="10">
        <v>1.3</v>
      </c>
      <c r="G93" s="14"/>
      <c r="H93" s="14"/>
      <c r="I93" s="14"/>
      <c r="J93" s="14"/>
      <c r="K93" s="14"/>
      <c r="L93" s="14"/>
      <c r="M93" s="18"/>
    </row>
    <row r="94" spans="1:13" ht="14.25" customHeight="1">
      <c r="A94" s="10"/>
      <c r="B94" s="15"/>
      <c r="C94" s="16" t="s">
        <v>149</v>
      </c>
      <c r="D94" s="17" t="s">
        <v>14</v>
      </c>
      <c r="E94" s="14">
        <v>6.66</v>
      </c>
      <c r="F94" s="18">
        <f>E94*F93</f>
        <v>8.6580000000000013</v>
      </c>
      <c r="G94" s="14">
        <v>0</v>
      </c>
      <c r="H94" s="18">
        <f>G94*F94</f>
        <v>0</v>
      </c>
      <c r="I94" s="14"/>
      <c r="J94" s="14"/>
      <c r="K94" s="14"/>
      <c r="L94" s="14"/>
      <c r="M94" s="18">
        <f t="shared" ref="M94:M99" si="15">L94+J94+H94</f>
        <v>0</v>
      </c>
    </row>
    <row r="95" spans="1:13" ht="14.25" customHeight="1">
      <c r="A95" s="24"/>
      <c r="B95" s="15"/>
      <c r="C95" s="16" t="s">
        <v>150</v>
      </c>
      <c r="D95" s="17" t="s">
        <v>15</v>
      </c>
      <c r="E95" s="18">
        <v>0.59</v>
      </c>
      <c r="F95" s="23">
        <f>E95*F93</f>
        <v>0.76700000000000002</v>
      </c>
      <c r="G95" s="14"/>
      <c r="H95" s="14"/>
      <c r="I95" s="14"/>
      <c r="J95" s="18"/>
      <c r="K95" s="14">
        <v>0</v>
      </c>
      <c r="L95" s="18">
        <f>K95*F95</f>
        <v>0</v>
      </c>
      <c r="M95" s="18">
        <f t="shared" si="15"/>
        <v>0</v>
      </c>
    </row>
    <row r="96" spans="1:13" ht="14.25" customHeight="1">
      <c r="A96" s="24"/>
      <c r="B96" s="25" t="s">
        <v>112</v>
      </c>
      <c r="C96" s="16" t="s">
        <v>270</v>
      </c>
      <c r="D96" s="17" t="s">
        <v>19</v>
      </c>
      <c r="E96" s="23">
        <v>1.0149999999999999</v>
      </c>
      <c r="F96" s="23">
        <f>E96*F93</f>
        <v>1.3194999999999999</v>
      </c>
      <c r="G96" s="14"/>
      <c r="H96" s="14"/>
      <c r="I96" s="14">
        <v>0</v>
      </c>
      <c r="J96" s="18">
        <f>I96*F96</f>
        <v>0</v>
      </c>
      <c r="K96" s="14"/>
      <c r="L96" s="18"/>
      <c r="M96" s="18">
        <f t="shared" si="15"/>
        <v>0</v>
      </c>
    </row>
    <row r="97" spans="1:13" ht="14.25" customHeight="1">
      <c r="A97" s="24"/>
      <c r="B97" s="25" t="s">
        <v>210</v>
      </c>
      <c r="C97" s="16" t="s">
        <v>93</v>
      </c>
      <c r="D97" s="17" t="s">
        <v>94</v>
      </c>
      <c r="E97" s="37">
        <v>1.6</v>
      </c>
      <c r="F97" s="23">
        <f>E97*F93</f>
        <v>2.08</v>
      </c>
      <c r="G97" s="14"/>
      <c r="H97" s="14"/>
      <c r="I97" s="14">
        <v>0</v>
      </c>
      <c r="J97" s="18">
        <f t="shared" ref="J97:J98" si="16">I97*F97</f>
        <v>0</v>
      </c>
      <c r="K97" s="14"/>
      <c r="L97" s="18"/>
      <c r="M97" s="18">
        <f t="shared" si="15"/>
        <v>0</v>
      </c>
    </row>
    <row r="98" spans="1:13" ht="14.25" customHeight="1">
      <c r="A98" s="24"/>
      <c r="B98" s="25" t="s">
        <v>211</v>
      </c>
      <c r="C98" s="16" t="s">
        <v>277</v>
      </c>
      <c r="D98" s="17" t="s">
        <v>92</v>
      </c>
      <c r="E98" s="38">
        <v>1.83E-2</v>
      </c>
      <c r="F98" s="23">
        <f>E98*F93</f>
        <v>2.3790000000000002E-2</v>
      </c>
      <c r="G98" s="14"/>
      <c r="H98" s="14"/>
      <c r="I98" s="14">
        <v>0</v>
      </c>
      <c r="J98" s="18">
        <f t="shared" si="16"/>
        <v>0</v>
      </c>
      <c r="K98" s="14"/>
      <c r="L98" s="18"/>
      <c r="M98" s="18">
        <f t="shared" si="15"/>
        <v>0</v>
      </c>
    </row>
    <row r="99" spans="1:13" ht="14.25" customHeight="1">
      <c r="A99" s="24"/>
      <c r="B99" s="15"/>
      <c r="C99" s="16" t="s">
        <v>16</v>
      </c>
      <c r="D99" s="17" t="s">
        <v>15</v>
      </c>
      <c r="E99" s="18">
        <v>0.4</v>
      </c>
      <c r="F99" s="23">
        <f>E99*F93</f>
        <v>0.52</v>
      </c>
      <c r="G99" s="14"/>
      <c r="H99" s="14"/>
      <c r="I99" s="14">
        <v>0</v>
      </c>
      <c r="J99" s="18">
        <f>I99*F99</f>
        <v>0</v>
      </c>
      <c r="K99" s="14"/>
      <c r="L99" s="14"/>
      <c r="M99" s="18">
        <f t="shared" si="15"/>
        <v>0</v>
      </c>
    </row>
    <row r="100" spans="1:13" ht="25.5" customHeight="1">
      <c r="A100" s="10">
        <v>20</v>
      </c>
      <c r="B100" s="11" t="s">
        <v>172</v>
      </c>
      <c r="C100" s="12" t="s">
        <v>212</v>
      </c>
      <c r="D100" s="10" t="s">
        <v>18</v>
      </c>
      <c r="E100" s="10"/>
      <c r="F100" s="10">
        <v>6.9699999999999998E-2</v>
      </c>
      <c r="G100" s="30"/>
      <c r="H100" s="30"/>
      <c r="I100" s="30"/>
      <c r="J100" s="30"/>
      <c r="K100" s="30"/>
      <c r="L100" s="30"/>
      <c r="M100" s="30"/>
    </row>
    <row r="101" spans="1:13" ht="14.25" customHeight="1">
      <c r="A101" s="26"/>
      <c r="B101" s="27"/>
      <c r="C101" s="28" t="s">
        <v>151</v>
      </c>
      <c r="D101" s="29" t="s">
        <v>14</v>
      </c>
      <c r="E101" s="30">
        <f>210*1.15</f>
        <v>241.49999999999997</v>
      </c>
      <c r="F101" s="31">
        <f>E101*F100</f>
        <v>16.832549999999998</v>
      </c>
      <c r="G101" s="30">
        <v>0</v>
      </c>
      <c r="H101" s="31">
        <f>G101*F101</f>
        <v>0</v>
      </c>
      <c r="I101" s="30"/>
      <c r="J101" s="30"/>
      <c r="K101" s="30"/>
      <c r="L101" s="30"/>
      <c r="M101" s="31">
        <f>L101+J101+H101</f>
        <v>0</v>
      </c>
    </row>
    <row r="102" spans="1:13" ht="14.25" customHeight="1">
      <c r="A102" s="26"/>
      <c r="B102" s="27"/>
      <c r="C102" s="28" t="s">
        <v>116</v>
      </c>
      <c r="D102" s="29" t="s">
        <v>15</v>
      </c>
      <c r="E102" s="30">
        <f>1.4*1.25</f>
        <v>1.75</v>
      </c>
      <c r="F102" s="31">
        <f>E102*F100</f>
        <v>0.121975</v>
      </c>
      <c r="G102" s="30"/>
      <c r="H102" s="30"/>
      <c r="I102" s="30"/>
      <c r="J102" s="30"/>
      <c r="K102" s="30">
        <v>0</v>
      </c>
      <c r="L102" s="31">
        <f>K102*F102</f>
        <v>0</v>
      </c>
      <c r="M102" s="31">
        <f t="shared" ref="M102:M105" si="17">L102+J102+H102</f>
        <v>0</v>
      </c>
    </row>
    <row r="103" spans="1:13" ht="14.25" customHeight="1">
      <c r="A103" s="26"/>
      <c r="B103" s="32" t="s">
        <v>86</v>
      </c>
      <c r="C103" s="28" t="s">
        <v>278</v>
      </c>
      <c r="D103" s="29" t="s">
        <v>18</v>
      </c>
      <c r="E103" s="30"/>
      <c r="F103" s="33">
        <v>0.10048</v>
      </c>
      <c r="G103" s="30"/>
      <c r="H103" s="31"/>
      <c r="I103" s="30">
        <v>0</v>
      </c>
      <c r="J103" s="31">
        <f>I103*F103</f>
        <v>0</v>
      </c>
      <c r="K103" s="30"/>
      <c r="L103" s="31"/>
      <c r="M103" s="31">
        <f t="shared" si="17"/>
        <v>0</v>
      </c>
    </row>
    <row r="104" spans="1:13" ht="14.25" customHeight="1">
      <c r="A104" s="26"/>
      <c r="B104" s="32" t="s">
        <v>111</v>
      </c>
      <c r="C104" s="28" t="s">
        <v>279</v>
      </c>
      <c r="D104" s="29" t="s">
        <v>18</v>
      </c>
      <c r="E104" s="30"/>
      <c r="F104" s="33">
        <v>2.8400000000000001E-3</v>
      </c>
      <c r="G104" s="30"/>
      <c r="H104" s="30"/>
      <c r="I104" s="30">
        <v>0</v>
      </c>
      <c r="J104" s="31">
        <f t="shared" ref="J104:J105" si="18">I104*F104</f>
        <v>0</v>
      </c>
      <c r="K104" s="30"/>
      <c r="L104" s="31"/>
      <c r="M104" s="31">
        <f t="shared" si="17"/>
        <v>0</v>
      </c>
    </row>
    <row r="105" spans="1:13" ht="14.25" customHeight="1">
      <c r="A105" s="26"/>
      <c r="B105" s="27"/>
      <c r="C105" s="26" t="s">
        <v>16</v>
      </c>
      <c r="D105" s="30" t="s">
        <v>15</v>
      </c>
      <c r="E105" s="30">
        <v>2</v>
      </c>
      <c r="F105" s="31">
        <f>E105*F100</f>
        <v>0.1394</v>
      </c>
      <c r="G105" s="30"/>
      <c r="H105" s="30"/>
      <c r="I105" s="30">
        <v>0</v>
      </c>
      <c r="J105" s="31">
        <f t="shared" si="18"/>
        <v>0</v>
      </c>
      <c r="K105" s="30"/>
      <c r="L105" s="30"/>
      <c r="M105" s="31">
        <f t="shared" si="17"/>
        <v>0</v>
      </c>
    </row>
    <row r="106" spans="1:13" ht="25.5" customHeight="1">
      <c r="A106" s="10">
        <v>21</v>
      </c>
      <c r="B106" s="11" t="s">
        <v>214</v>
      </c>
      <c r="C106" s="12" t="s">
        <v>213</v>
      </c>
      <c r="D106" s="10" t="s">
        <v>18</v>
      </c>
      <c r="E106" s="10"/>
      <c r="F106" s="35">
        <f>F110+F111+F112+F113+F114+F115+F116+F117+F118+F119</f>
        <v>0.92215000000000003</v>
      </c>
      <c r="G106" s="30"/>
      <c r="H106" s="30"/>
      <c r="I106" s="30"/>
      <c r="J106" s="30"/>
      <c r="K106" s="30"/>
      <c r="L106" s="30"/>
      <c r="M106" s="30"/>
    </row>
    <row r="107" spans="1:13" ht="14.25" customHeight="1">
      <c r="A107" s="30"/>
      <c r="B107" s="32"/>
      <c r="C107" s="39" t="s">
        <v>215</v>
      </c>
      <c r="D107" s="29" t="s">
        <v>14</v>
      </c>
      <c r="E107" s="30">
        <f>32.9*1.15</f>
        <v>37.834999999999994</v>
      </c>
      <c r="F107" s="31">
        <f>E107*F106</f>
        <v>34.889545249999998</v>
      </c>
      <c r="G107" s="30">
        <v>0</v>
      </c>
      <c r="H107" s="31">
        <f>G107*F107</f>
        <v>0</v>
      </c>
      <c r="I107" s="30"/>
      <c r="J107" s="30"/>
      <c r="K107" s="30"/>
      <c r="L107" s="30"/>
      <c r="M107" s="31">
        <f>L107+J107+H107</f>
        <v>0</v>
      </c>
    </row>
    <row r="108" spans="1:13" ht="14.25" customHeight="1">
      <c r="A108" s="30"/>
      <c r="B108" s="32" t="s">
        <v>226</v>
      </c>
      <c r="C108" s="39" t="s">
        <v>217</v>
      </c>
      <c r="D108" s="29" t="s">
        <v>216</v>
      </c>
      <c r="E108" s="30">
        <f>0.35*1.25</f>
        <v>0.4375</v>
      </c>
      <c r="F108" s="31">
        <f>E108*F106</f>
        <v>0.403440625</v>
      </c>
      <c r="G108" s="30"/>
      <c r="H108" s="31"/>
      <c r="I108" s="30"/>
      <c r="J108" s="30"/>
      <c r="K108" s="30">
        <v>0</v>
      </c>
      <c r="L108" s="31">
        <f>K108*F108</f>
        <v>0</v>
      </c>
      <c r="M108" s="31">
        <f t="shared" ref="M108:M121" si="19">L108+J108+H108</f>
        <v>0</v>
      </c>
    </row>
    <row r="109" spans="1:13" ht="14.25" customHeight="1">
      <c r="A109" s="30"/>
      <c r="B109" s="32"/>
      <c r="C109" s="39" t="s">
        <v>218</v>
      </c>
      <c r="D109" s="29" t="s">
        <v>15</v>
      </c>
      <c r="E109" s="30">
        <f>13.9*1.25</f>
        <v>17.375</v>
      </c>
      <c r="F109" s="31">
        <f>E109*F106</f>
        <v>16.022356250000001</v>
      </c>
      <c r="G109" s="30"/>
      <c r="H109" s="30"/>
      <c r="I109" s="30"/>
      <c r="J109" s="30"/>
      <c r="K109" s="30">
        <v>0</v>
      </c>
      <c r="L109" s="31">
        <f>K109*F109</f>
        <v>0</v>
      </c>
      <c r="M109" s="31">
        <f t="shared" si="19"/>
        <v>0</v>
      </c>
    </row>
    <row r="110" spans="1:13" ht="14.25" customHeight="1">
      <c r="A110" s="30"/>
      <c r="B110" s="32" t="s">
        <v>227</v>
      </c>
      <c r="C110" s="39" t="s">
        <v>219</v>
      </c>
      <c r="D110" s="29" t="s">
        <v>95</v>
      </c>
      <c r="E110" s="30"/>
      <c r="F110" s="33">
        <v>0.20538000000000001</v>
      </c>
      <c r="G110" s="30"/>
      <c r="H110" s="30"/>
      <c r="I110" s="30">
        <v>0</v>
      </c>
      <c r="J110" s="31">
        <f>I110*F110</f>
        <v>0</v>
      </c>
      <c r="K110" s="30"/>
      <c r="L110" s="31"/>
      <c r="M110" s="31">
        <f t="shared" si="19"/>
        <v>0</v>
      </c>
    </row>
    <row r="111" spans="1:13" ht="14.25" customHeight="1">
      <c r="A111" s="30"/>
      <c r="B111" s="32" t="s">
        <v>227</v>
      </c>
      <c r="C111" s="39" t="s">
        <v>220</v>
      </c>
      <c r="D111" s="29" t="s">
        <v>95</v>
      </c>
      <c r="E111" s="30"/>
      <c r="F111" s="33">
        <v>2.9440000000000001E-2</v>
      </c>
      <c r="G111" s="30"/>
      <c r="H111" s="30"/>
      <c r="I111" s="30">
        <v>0</v>
      </c>
      <c r="J111" s="31">
        <f t="shared" ref="J111:J121" si="20">I111*F111</f>
        <v>0</v>
      </c>
      <c r="K111" s="30"/>
      <c r="L111" s="31"/>
      <c r="M111" s="31">
        <f t="shared" si="19"/>
        <v>0</v>
      </c>
    </row>
    <row r="112" spans="1:13" ht="14.25" customHeight="1">
      <c r="A112" s="30"/>
      <c r="B112" s="32" t="s">
        <v>227</v>
      </c>
      <c r="C112" s="39" t="s">
        <v>221</v>
      </c>
      <c r="D112" s="29" t="s">
        <v>95</v>
      </c>
      <c r="E112" s="30"/>
      <c r="F112" s="33">
        <v>0.11408</v>
      </c>
      <c r="G112" s="30"/>
      <c r="H112" s="30"/>
      <c r="I112" s="30">
        <v>0</v>
      </c>
      <c r="J112" s="31">
        <f t="shared" si="20"/>
        <v>0</v>
      </c>
      <c r="K112" s="30"/>
      <c r="L112" s="31"/>
      <c r="M112" s="31">
        <f t="shared" si="19"/>
        <v>0</v>
      </c>
    </row>
    <row r="113" spans="1:13" ht="14.25" customHeight="1">
      <c r="A113" s="30"/>
      <c r="B113" s="32" t="s">
        <v>228</v>
      </c>
      <c r="C113" s="39" t="s">
        <v>222</v>
      </c>
      <c r="D113" s="29" t="s">
        <v>95</v>
      </c>
      <c r="E113" s="30"/>
      <c r="F113" s="33">
        <f>0.02544*3</f>
        <v>7.6319999999999999E-2</v>
      </c>
      <c r="G113" s="30"/>
      <c r="H113" s="30"/>
      <c r="I113" s="30">
        <v>0</v>
      </c>
      <c r="J113" s="31">
        <f t="shared" si="20"/>
        <v>0</v>
      </c>
      <c r="K113" s="30"/>
      <c r="L113" s="31"/>
      <c r="M113" s="31">
        <f t="shared" si="19"/>
        <v>0</v>
      </c>
    </row>
    <row r="114" spans="1:13" ht="14.25" customHeight="1">
      <c r="A114" s="30"/>
      <c r="B114" s="40" t="s">
        <v>231</v>
      </c>
      <c r="C114" s="39" t="s">
        <v>223</v>
      </c>
      <c r="D114" s="29" t="s">
        <v>95</v>
      </c>
      <c r="E114" s="30"/>
      <c r="F114" s="33">
        <v>8.4080000000000002E-2</v>
      </c>
      <c r="G114" s="30"/>
      <c r="H114" s="30"/>
      <c r="I114" s="30">
        <v>0</v>
      </c>
      <c r="J114" s="31">
        <f t="shared" si="20"/>
        <v>0</v>
      </c>
      <c r="K114" s="30"/>
      <c r="L114" s="31"/>
      <c r="M114" s="31">
        <f t="shared" si="19"/>
        <v>0</v>
      </c>
    </row>
    <row r="115" spans="1:13" ht="14.25" customHeight="1">
      <c r="A115" s="30"/>
      <c r="B115" s="32" t="s">
        <v>229</v>
      </c>
      <c r="C115" s="39" t="s">
        <v>224</v>
      </c>
      <c r="D115" s="29" t="s">
        <v>95</v>
      </c>
      <c r="E115" s="30"/>
      <c r="F115" s="33">
        <v>6.0400000000000002E-3</v>
      </c>
      <c r="G115" s="30"/>
      <c r="H115" s="30"/>
      <c r="I115" s="30">
        <v>0</v>
      </c>
      <c r="J115" s="31">
        <f t="shared" si="20"/>
        <v>0</v>
      </c>
      <c r="K115" s="30"/>
      <c r="L115" s="31"/>
      <c r="M115" s="31">
        <f t="shared" si="19"/>
        <v>0</v>
      </c>
    </row>
    <row r="116" spans="1:13" ht="14.25" customHeight="1">
      <c r="A116" s="30"/>
      <c r="B116" s="32" t="s">
        <v>229</v>
      </c>
      <c r="C116" s="39" t="s">
        <v>237</v>
      </c>
      <c r="D116" s="29" t="s">
        <v>95</v>
      </c>
      <c r="E116" s="30"/>
      <c r="F116" s="33">
        <v>2.0670000000000001E-2</v>
      </c>
      <c r="G116" s="30"/>
      <c r="H116" s="30"/>
      <c r="I116" s="30">
        <v>0</v>
      </c>
      <c r="J116" s="31">
        <f t="shared" si="20"/>
        <v>0</v>
      </c>
      <c r="K116" s="30"/>
      <c r="L116" s="31"/>
      <c r="M116" s="31">
        <f t="shared" si="19"/>
        <v>0</v>
      </c>
    </row>
    <row r="117" spans="1:13" ht="14.25" customHeight="1">
      <c r="A117" s="30"/>
      <c r="B117" s="32" t="s">
        <v>229</v>
      </c>
      <c r="C117" s="39" t="s">
        <v>238</v>
      </c>
      <c r="D117" s="29" t="s">
        <v>95</v>
      </c>
      <c r="E117" s="30"/>
      <c r="F117" s="33">
        <v>6.6500000000000004E-2</v>
      </c>
      <c r="G117" s="30"/>
      <c r="H117" s="30"/>
      <c r="I117" s="30">
        <v>0</v>
      </c>
      <c r="J117" s="31">
        <f t="shared" si="20"/>
        <v>0</v>
      </c>
      <c r="K117" s="30"/>
      <c r="L117" s="31"/>
      <c r="M117" s="31">
        <f t="shared" si="19"/>
        <v>0</v>
      </c>
    </row>
    <row r="118" spans="1:13" ht="14.25" customHeight="1">
      <c r="A118" s="30"/>
      <c r="B118" s="32" t="s">
        <v>86</v>
      </c>
      <c r="C118" s="39" t="s">
        <v>225</v>
      </c>
      <c r="D118" s="29" t="s">
        <v>95</v>
      </c>
      <c r="E118" s="30"/>
      <c r="F118" s="33">
        <v>2.1199999999999999E-3</v>
      </c>
      <c r="G118" s="30"/>
      <c r="H118" s="30"/>
      <c r="I118" s="30">
        <v>0</v>
      </c>
      <c r="J118" s="31">
        <f t="shared" si="20"/>
        <v>0</v>
      </c>
      <c r="K118" s="30"/>
      <c r="L118" s="31"/>
      <c r="M118" s="31">
        <f t="shared" si="19"/>
        <v>0</v>
      </c>
    </row>
    <row r="119" spans="1:13" ht="14.25" customHeight="1">
      <c r="A119" s="30"/>
      <c r="B119" s="32" t="s">
        <v>86</v>
      </c>
      <c r="C119" s="39" t="s">
        <v>239</v>
      </c>
      <c r="D119" s="29" t="s">
        <v>18</v>
      </c>
      <c r="E119" s="30"/>
      <c r="F119" s="33">
        <v>0.31752000000000002</v>
      </c>
      <c r="G119" s="30"/>
      <c r="H119" s="31"/>
      <c r="I119" s="30">
        <v>0</v>
      </c>
      <c r="J119" s="31">
        <f t="shared" si="20"/>
        <v>0</v>
      </c>
      <c r="K119" s="30"/>
      <c r="L119" s="31"/>
      <c r="M119" s="31">
        <f t="shared" si="19"/>
        <v>0</v>
      </c>
    </row>
    <row r="120" spans="1:13" ht="14.25" customHeight="1">
      <c r="A120" s="30"/>
      <c r="B120" s="32" t="s">
        <v>230</v>
      </c>
      <c r="C120" s="39" t="s">
        <v>96</v>
      </c>
      <c r="D120" s="29" t="s">
        <v>100</v>
      </c>
      <c r="E120" s="30">
        <v>4.78</v>
      </c>
      <c r="F120" s="33">
        <f>E120*F106</f>
        <v>4.407877</v>
      </c>
      <c r="G120" s="30"/>
      <c r="H120" s="30"/>
      <c r="I120" s="30">
        <v>0</v>
      </c>
      <c r="J120" s="31">
        <f t="shared" si="20"/>
        <v>0</v>
      </c>
      <c r="K120" s="30"/>
      <c r="L120" s="31"/>
      <c r="M120" s="31">
        <f t="shared" si="19"/>
        <v>0</v>
      </c>
    </row>
    <row r="121" spans="1:13" ht="14.25" customHeight="1">
      <c r="A121" s="30"/>
      <c r="B121" s="32"/>
      <c r="C121" s="41" t="s">
        <v>16</v>
      </c>
      <c r="D121" s="30" t="s">
        <v>15</v>
      </c>
      <c r="E121" s="30">
        <v>2.78</v>
      </c>
      <c r="F121" s="31">
        <f>E121*F106</f>
        <v>2.563577</v>
      </c>
      <c r="G121" s="30"/>
      <c r="H121" s="30"/>
      <c r="I121" s="30">
        <v>0</v>
      </c>
      <c r="J121" s="31">
        <f t="shared" si="20"/>
        <v>0</v>
      </c>
      <c r="K121" s="30"/>
      <c r="L121" s="30"/>
      <c r="M121" s="31">
        <f t="shared" si="19"/>
        <v>0</v>
      </c>
    </row>
    <row r="122" spans="1:13" ht="24.75" customHeight="1">
      <c r="A122" s="10">
        <v>22</v>
      </c>
      <c r="B122" s="11" t="s">
        <v>232</v>
      </c>
      <c r="C122" s="20" t="s">
        <v>280</v>
      </c>
      <c r="D122" s="10" t="s">
        <v>19</v>
      </c>
      <c r="E122" s="10"/>
      <c r="F122" s="10">
        <f>4.584*1.4*0.1</f>
        <v>0.64176</v>
      </c>
      <c r="G122" s="14"/>
      <c r="H122" s="14"/>
      <c r="I122" s="14"/>
      <c r="J122" s="14"/>
      <c r="K122" s="14"/>
      <c r="L122" s="14"/>
      <c r="M122" s="18"/>
    </row>
    <row r="123" spans="1:13" ht="14.25" customHeight="1">
      <c r="A123" s="10"/>
      <c r="B123" s="27"/>
      <c r="C123" s="28" t="s">
        <v>233</v>
      </c>
      <c r="D123" s="29" t="s">
        <v>14</v>
      </c>
      <c r="E123" s="30">
        <f>15.3*1.15</f>
        <v>17.594999999999999</v>
      </c>
      <c r="F123" s="31">
        <f>E123*F122</f>
        <v>11.291767199999999</v>
      </c>
      <c r="G123" s="30">
        <v>0</v>
      </c>
      <c r="H123" s="31">
        <f>G123*F123</f>
        <v>0</v>
      </c>
      <c r="I123" s="30"/>
      <c r="J123" s="30"/>
      <c r="K123" s="30"/>
      <c r="L123" s="30"/>
      <c r="M123" s="31">
        <f t="shared" ref="M123:M132" si="21">L123+J123+H123</f>
        <v>0</v>
      </c>
    </row>
    <row r="124" spans="1:13" ht="14.25" customHeight="1">
      <c r="A124" s="26"/>
      <c r="B124" s="27"/>
      <c r="C124" s="28" t="s">
        <v>234</v>
      </c>
      <c r="D124" s="29" t="s">
        <v>15</v>
      </c>
      <c r="E124" s="31">
        <f>1.29*1.25</f>
        <v>1.6125</v>
      </c>
      <c r="F124" s="42">
        <f>E124*F122</f>
        <v>1.0348379999999999</v>
      </c>
      <c r="G124" s="30"/>
      <c r="H124" s="30"/>
      <c r="I124" s="30"/>
      <c r="J124" s="31"/>
      <c r="K124" s="30">
        <v>0</v>
      </c>
      <c r="L124" s="31">
        <f>K124*F124</f>
        <v>0</v>
      </c>
      <c r="M124" s="31">
        <f t="shared" si="21"/>
        <v>0</v>
      </c>
    </row>
    <row r="125" spans="1:13" ht="14.25" customHeight="1">
      <c r="A125" s="26"/>
      <c r="B125" s="32" t="s">
        <v>110</v>
      </c>
      <c r="C125" s="28" t="s">
        <v>274</v>
      </c>
      <c r="D125" s="29" t="s">
        <v>18</v>
      </c>
      <c r="E125" s="31"/>
      <c r="F125" s="33">
        <v>4.8000000000000001E-4</v>
      </c>
      <c r="G125" s="30"/>
      <c r="H125" s="30"/>
      <c r="I125" s="30">
        <v>0</v>
      </c>
      <c r="J125" s="31">
        <f>I125*F125</f>
        <v>0</v>
      </c>
      <c r="K125" s="30"/>
      <c r="L125" s="31"/>
      <c r="M125" s="31">
        <f t="shared" si="21"/>
        <v>0</v>
      </c>
    </row>
    <row r="126" spans="1:13" ht="14.25" customHeight="1">
      <c r="A126" s="26"/>
      <c r="B126" s="32" t="s">
        <v>111</v>
      </c>
      <c r="C126" s="28" t="s">
        <v>281</v>
      </c>
      <c r="D126" s="29" t="s">
        <v>18</v>
      </c>
      <c r="E126" s="31"/>
      <c r="F126" s="42">
        <f>0.06659+0.04498+0.00715</f>
        <v>0.11872000000000001</v>
      </c>
      <c r="G126" s="30"/>
      <c r="H126" s="30"/>
      <c r="I126" s="30">
        <v>0</v>
      </c>
      <c r="J126" s="31">
        <f>I126*F126</f>
        <v>0</v>
      </c>
      <c r="K126" s="30"/>
      <c r="L126" s="31"/>
      <c r="M126" s="31">
        <f t="shared" si="21"/>
        <v>0</v>
      </c>
    </row>
    <row r="127" spans="1:13" ht="14.25" customHeight="1">
      <c r="A127" s="26"/>
      <c r="B127" s="32" t="s">
        <v>112</v>
      </c>
      <c r="C127" s="28" t="s">
        <v>270</v>
      </c>
      <c r="D127" s="29" t="s">
        <v>19</v>
      </c>
      <c r="E127" s="42">
        <v>1.0149999999999999</v>
      </c>
      <c r="F127" s="42">
        <f>E127*F122</f>
        <v>0.65138639999999992</v>
      </c>
      <c r="G127" s="30"/>
      <c r="H127" s="30"/>
      <c r="I127" s="30">
        <v>0</v>
      </c>
      <c r="J127" s="31">
        <f>I127*F127</f>
        <v>0</v>
      </c>
      <c r="K127" s="30"/>
      <c r="L127" s="31"/>
      <c r="M127" s="31">
        <f t="shared" si="21"/>
        <v>0</v>
      </c>
    </row>
    <row r="128" spans="1:13" ht="14.25" customHeight="1">
      <c r="A128" s="26"/>
      <c r="B128" s="32" t="s">
        <v>210</v>
      </c>
      <c r="C128" s="28" t="s">
        <v>93</v>
      </c>
      <c r="D128" s="29" t="s">
        <v>94</v>
      </c>
      <c r="E128" s="31">
        <v>2.42</v>
      </c>
      <c r="F128" s="42">
        <f>E128*F122</f>
        <v>1.5530591999999999</v>
      </c>
      <c r="G128" s="30"/>
      <c r="H128" s="30"/>
      <c r="I128" s="30">
        <v>0</v>
      </c>
      <c r="J128" s="31">
        <f t="shared" ref="J128:J132" si="22">I128*F128</f>
        <v>0</v>
      </c>
      <c r="K128" s="30"/>
      <c r="L128" s="31"/>
      <c r="M128" s="31">
        <f t="shared" si="21"/>
        <v>0</v>
      </c>
    </row>
    <row r="129" spans="1:13" ht="14.25" customHeight="1">
      <c r="A129" s="26"/>
      <c r="B129" s="32" t="s">
        <v>235</v>
      </c>
      <c r="C129" s="28" t="s">
        <v>282</v>
      </c>
      <c r="D129" s="29" t="s">
        <v>92</v>
      </c>
      <c r="E129" s="43">
        <v>3.04E-2</v>
      </c>
      <c r="F129" s="42">
        <f>E129*F122</f>
        <v>1.9509504E-2</v>
      </c>
      <c r="G129" s="30"/>
      <c r="H129" s="30"/>
      <c r="I129" s="30">
        <v>0</v>
      </c>
      <c r="J129" s="31">
        <f t="shared" si="22"/>
        <v>0</v>
      </c>
      <c r="K129" s="30"/>
      <c r="L129" s="31"/>
      <c r="M129" s="31">
        <f t="shared" si="21"/>
        <v>0</v>
      </c>
    </row>
    <row r="130" spans="1:13" ht="14.25" customHeight="1">
      <c r="A130" s="26"/>
      <c r="B130" s="32" t="s">
        <v>236</v>
      </c>
      <c r="C130" s="28" t="s">
        <v>283</v>
      </c>
      <c r="D130" s="29" t="s">
        <v>92</v>
      </c>
      <c r="E130" s="43">
        <v>7.1099999999999997E-2</v>
      </c>
      <c r="F130" s="42">
        <f>E130*F122</f>
        <v>4.5629136000000001E-2</v>
      </c>
      <c r="G130" s="30"/>
      <c r="H130" s="30"/>
      <c r="I130" s="30">
        <v>0</v>
      </c>
      <c r="J130" s="31">
        <f t="shared" si="22"/>
        <v>0</v>
      </c>
      <c r="K130" s="30"/>
      <c r="L130" s="31"/>
      <c r="M130" s="31">
        <f t="shared" si="21"/>
        <v>0</v>
      </c>
    </row>
    <row r="131" spans="1:13" ht="14.25" customHeight="1">
      <c r="A131" s="26"/>
      <c r="B131" s="32" t="s">
        <v>230</v>
      </c>
      <c r="C131" s="28" t="s">
        <v>96</v>
      </c>
      <c r="D131" s="29" t="s">
        <v>100</v>
      </c>
      <c r="E131" s="30">
        <v>2.4</v>
      </c>
      <c r="F131" s="31">
        <f>E131*F122</f>
        <v>1.540224</v>
      </c>
      <c r="G131" s="30"/>
      <c r="H131" s="30"/>
      <c r="I131" s="30">
        <v>0</v>
      </c>
      <c r="J131" s="31">
        <f t="shared" si="22"/>
        <v>0</v>
      </c>
      <c r="K131" s="30"/>
      <c r="L131" s="31"/>
      <c r="M131" s="31">
        <f t="shared" si="21"/>
        <v>0</v>
      </c>
    </row>
    <row r="132" spans="1:13" ht="14.25" customHeight="1">
      <c r="A132" s="26"/>
      <c r="B132" s="27"/>
      <c r="C132" s="28" t="s">
        <v>16</v>
      </c>
      <c r="D132" s="29" t="s">
        <v>15</v>
      </c>
      <c r="E132" s="31">
        <v>1.31</v>
      </c>
      <c r="F132" s="42">
        <f>E132*F122</f>
        <v>0.84070560000000005</v>
      </c>
      <c r="G132" s="30"/>
      <c r="H132" s="30"/>
      <c r="I132" s="30">
        <v>0</v>
      </c>
      <c r="J132" s="31">
        <f t="shared" si="22"/>
        <v>0</v>
      </c>
      <c r="K132" s="30"/>
      <c r="L132" s="30"/>
      <c r="M132" s="31">
        <f t="shared" si="21"/>
        <v>0</v>
      </c>
    </row>
    <row r="133" spans="1:13" ht="25.5" customHeight="1">
      <c r="A133" s="10">
        <v>23</v>
      </c>
      <c r="B133" s="11" t="s">
        <v>118</v>
      </c>
      <c r="C133" s="20" t="s">
        <v>117</v>
      </c>
      <c r="D133" s="10" t="s">
        <v>105</v>
      </c>
      <c r="E133" s="10"/>
      <c r="F133" s="21">
        <v>5</v>
      </c>
      <c r="G133" s="14"/>
      <c r="H133" s="14"/>
      <c r="I133" s="14"/>
      <c r="J133" s="14"/>
      <c r="K133" s="14"/>
      <c r="L133" s="14"/>
      <c r="M133" s="14"/>
    </row>
    <row r="134" spans="1:13" ht="14.25" customHeight="1">
      <c r="A134" s="10"/>
      <c r="B134" s="15"/>
      <c r="C134" s="16" t="s">
        <v>17</v>
      </c>
      <c r="D134" s="17" t="s">
        <v>14</v>
      </c>
      <c r="E134" s="14">
        <v>0.48799999999999999</v>
      </c>
      <c r="F134" s="18">
        <f>E134*F133</f>
        <v>2.44</v>
      </c>
      <c r="G134" s="14">
        <v>0</v>
      </c>
      <c r="H134" s="18">
        <f>G134*F134</f>
        <v>0</v>
      </c>
      <c r="I134" s="14"/>
      <c r="J134" s="14"/>
      <c r="K134" s="14"/>
      <c r="L134" s="14"/>
      <c r="M134" s="18">
        <f>L134+J134+H134</f>
        <v>0</v>
      </c>
    </row>
    <row r="135" spans="1:13" ht="14.25" customHeight="1">
      <c r="A135" s="10"/>
      <c r="B135" s="15"/>
      <c r="C135" s="16" t="s">
        <v>36</v>
      </c>
      <c r="D135" s="17" t="s">
        <v>15</v>
      </c>
      <c r="E135" s="14">
        <v>0.219</v>
      </c>
      <c r="F135" s="18">
        <f>E135*F133</f>
        <v>1.095</v>
      </c>
      <c r="G135" s="14"/>
      <c r="H135" s="18"/>
      <c r="I135" s="14"/>
      <c r="J135" s="14"/>
      <c r="K135" s="14">
        <v>0</v>
      </c>
      <c r="L135" s="18">
        <f>K135*F135</f>
        <v>0</v>
      </c>
      <c r="M135" s="18">
        <f>L135+J135+H135</f>
        <v>0</v>
      </c>
    </row>
    <row r="136" spans="1:13" ht="25.5" customHeight="1">
      <c r="A136" s="10">
        <v>24</v>
      </c>
      <c r="B136" s="11" t="s">
        <v>120</v>
      </c>
      <c r="C136" s="12" t="s">
        <v>119</v>
      </c>
      <c r="D136" s="10" t="s">
        <v>19</v>
      </c>
      <c r="E136" s="10"/>
      <c r="F136" s="10">
        <v>0.04</v>
      </c>
      <c r="G136" s="30"/>
      <c r="H136" s="30"/>
      <c r="I136" s="30"/>
      <c r="J136" s="30"/>
      <c r="K136" s="30"/>
      <c r="L136" s="30"/>
      <c r="M136" s="30"/>
    </row>
    <row r="137" spans="1:13" ht="14.25" customHeight="1">
      <c r="A137" s="26"/>
      <c r="B137" s="27"/>
      <c r="C137" s="28" t="s">
        <v>121</v>
      </c>
      <c r="D137" s="29" t="s">
        <v>14</v>
      </c>
      <c r="E137" s="30">
        <v>74.2</v>
      </c>
      <c r="F137" s="31">
        <f>E137*F136</f>
        <v>2.968</v>
      </c>
      <c r="G137" s="44">
        <v>0</v>
      </c>
      <c r="H137" s="31">
        <f>G137*F137</f>
        <v>0</v>
      </c>
      <c r="I137" s="30"/>
      <c r="J137" s="30"/>
      <c r="K137" s="30"/>
      <c r="L137" s="30"/>
      <c r="M137" s="31">
        <f>L137+J137+H137</f>
        <v>0</v>
      </c>
    </row>
    <row r="138" spans="1:13" ht="14.25" customHeight="1">
      <c r="A138" s="26"/>
      <c r="B138" s="27"/>
      <c r="C138" s="28" t="s">
        <v>22</v>
      </c>
      <c r="D138" s="29" t="s">
        <v>15</v>
      </c>
      <c r="E138" s="30">
        <v>1.1000000000000001</v>
      </c>
      <c r="F138" s="31">
        <f>E138*F136</f>
        <v>4.4000000000000004E-2</v>
      </c>
      <c r="G138" s="30"/>
      <c r="H138" s="30"/>
      <c r="I138" s="30"/>
      <c r="J138" s="30"/>
      <c r="K138" s="30">
        <v>0</v>
      </c>
      <c r="L138" s="31">
        <f>K138*F138</f>
        <v>0</v>
      </c>
      <c r="M138" s="31">
        <f t="shared" ref="M138:M142" si="23">L138+J138+H138</f>
        <v>0</v>
      </c>
    </row>
    <row r="139" spans="1:13" ht="14.25" customHeight="1">
      <c r="A139" s="26"/>
      <c r="B139" s="32" t="s">
        <v>112</v>
      </c>
      <c r="C139" s="26" t="s">
        <v>284</v>
      </c>
      <c r="D139" s="30" t="s">
        <v>19</v>
      </c>
      <c r="E139" s="30">
        <v>1.04</v>
      </c>
      <c r="F139" s="31">
        <f>E139*F136</f>
        <v>4.1600000000000005E-2</v>
      </c>
      <c r="G139" s="30"/>
      <c r="H139" s="30"/>
      <c r="I139" s="30">
        <v>0</v>
      </c>
      <c r="J139" s="31">
        <f t="shared" ref="J139:J142" si="24">I139*F139</f>
        <v>0</v>
      </c>
      <c r="K139" s="30"/>
      <c r="L139" s="30"/>
      <c r="M139" s="31">
        <f t="shared" si="23"/>
        <v>0</v>
      </c>
    </row>
    <row r="140" spans="1:13" ht="14.25" customHeight="1">
      <c r="A140" s="26"/>
      <c r="B140" s="32" t="s">
        <v>44</v>
      </c>
      <c r="C140" s="26" t="s">
        <v>31</v>
      </c>
      <c r="D140" s="30" t="s">
        <v>24</v>
      </c>
      <c r="E140" s="30">
        <v>5.9</v>
      </c>
      <c r="F140" s="31">
        <f>E140*F136</f>
        <v>0.23600000000000002</v>
      </c>
      <c r="G140" s="30"/>
      <c r="H140" s="30"/>
      <c r="I140" s="30">
        <v>0</v>
      </c>
      <c r="J140" s="31">
        <f t="shared" si="24"/>
        <v>0</v>
      </c>
      <c r="K140" s="30"/>
      <c r="L140" s="30"/>
      <c r="M140" s="31">
        <f t="shared" si="23"/>
        <v>0</v>
      </c>
    </row>
    <row r="141" spans="1:13" ht="14.25" customHeight="1">
      <c r="A141" s="26"/>
      <c r="B141" s="32" t="s">
        <v>97</v>
      </c>
      <c r="C141" s="26" t="s">
        <v>285</v>
      </c>
      <c r="D141" s="30" t="s">
        <v>19</v>
      </c>
      <c r="E141" s="30">
        <v>0.21</v>
      </c>
      <c r="F141" s="42">
        <f>E141*F136</f>
        <v>8.3999999999999995E-3</v>
      </c>
      <c r="G141" s="30"/>
      <c r="H141" s="30"/>
      <c r="I141" s="30">
        <v>0</v>
      </c>
      <c r="J141" s="31">
        <f t="shared" si="24"/>
        <v>0</v>
      </c>
      <c r="K141" s="30"/>
      <c r="L141" s="30"/>
      <c r="M141" s="31">
        <f t="shared" si="23"/>
        <v>0</v>
      </c>
    </row>
    <row r="142" spans="1:13" ht="14.25" customHeight="1">
      <c r="A142" s="26"/>
      <c r="B142" s="32" t="s">
        <v>99</v>
      </c>
      <c r="C142" s="26" t="s">
        <v>286</v>
      </c>
      <c r="D142" s="30" t="s">
        <v>19</v>
      </c>
      <c r="E142" s="30">
        <v>0.18</v>
      </c>
      <c r="F142" s="42">
        <f>E142*F136</f>
        <v>7.1999999999999998E-3</v>
      </c>
      <c r="G142" s="30"/>
      <c r="H142" s="30"/>
      <c r="I142" s="30">
        <v>0</v>
      </c>
      <c r="J142" s="31">
        <f t="shared" si="24"/>
        <v>0</v>
      </c>
      <c r="K142" s="30"/>
      <c r="L142" s="30"/>
      <c r="M142" s="31">
        <f t="shared" si="23"/>
        <v>0</v>
      </c>
    </row>
    <row r="143" spans="1:13" ht="25.5" customHeight="1">
      <c r="A143" s="10">
        <v>25</v>
      </c>
      <c r="B143" s="11" t="s">
        <v>173</v>
      </c>
      <c r="C143" s="20" t="s">
        <v>122</v>
      </c>
      <c r="D143" s="10" t="s">
        <v>21</v>
      </c>
      <c r="E143" s="10"/>
      <c r="F143" s="10">
        <f>5.2/0.1/100</f>
        <v>0.52</v>
      </c>
      <c r="G143" s="30"/>
      <c r="H143" s="30"/>
      <c r="I143" s="30"/>
      <c r="J143" s="30"/>
      <c r="K143" s="30"/>
      <c r="L143" s="30"/>
      <c r="M143" s="30"/>
    </row>
    <row r="144" spans="1:13" ht="14.25" customHeight="1">
      <c r="A144" s="26"/>
      <c r="B144" s="27"/>
      <c r="C144" s="28" t="s">
        <v>152</v>
      </c>
      <c r="D144" s="29" t="s">
        <v>14</v>
      </c>
      <c r="E144" s="30">
        <f>(40.2+1.26*14)*1.15</f>
        <v>66.516000000000005</v>
      </c>
      <c r="F144" s="31">
        <f>E144*F143</f>
        <v>34.588320000000003</v>
      </c>
      <c r="G144" s="44">
        <v>0</v>
      </c>
      <c r="H144" s="31">
        <f>G144*F144</f>
        <v>0</v>
      </c>
      <c r="I144" s="30"/>
      <c r="J144" s="30"/>
      <c r="K144" s="30"/>
      <c r="L144" s="30"/>
      <c r="M144" s="31">
        <f>L144+J144+H144</f>
        <v>0</v>
      </c>
    </row>
    <row r="145" spans="1:13" ht="14.25" customHeight="1">
      <c r="A145" s="26"/>
      <c r="B145" s="27"/>
      <c r="C145" s="28" t="s">
        <v>54</v>
      </c>
      <c r="D145" s="29" t="s">
        <v>15</v>
      </c>
      <c r="E145" s="30">
        <f>(1.74+0.28*14)*1.25</f>
        <v>7.0750000000000002</v>
      </c>
      <c r="F145" s="31">
        <f>E145*F143</f>
        <v>3.6790000000000003</v>
      </c>
      <c r="G145" s="30"/>
      <c r="H145" s="30"/>
      <c r="I145" s="30"/>
      <c r="J145" s="30"/>
      <c r="K145" s="30">
        <v>0</v>
      </c>
      <c r="L145" s="31">
        <f>K145*F145</f>
        <v>0</v>
      </c>
      <c r="M145" s="31">
        <f t="shared" ref="M145:M148" si="25">L145+J145+H145</f>
        <v>0</v>
      </c>
    </row>
    <row r="146" spans="1:13" ht="14.25" customHeight="1">
      <c r="A146" s="26"/>
      <c r="B146" s="32" t="s">
        <v>123</v>
      </c>
      <c r="C146" s="26" t="s">
        <v>287</v>
      </c>
      <c r="D146" s="30" t="s">
        <v>19</v>
      </c>
      <c r="E146" s="30">
        <f>3.06+0.51*14</f>
        <v>10.200000000000001</v>
      </c>
      <c r="F146" s="31">
        <f>E146*F143</f>
        <v>5.3040000000000012</v>
      </c>
      <c r="G146" s="30"/>
      <c r="H146" s="30"/>
      <c r="I146" s="30">
        <v>0</v>
      </c>
      <c r="J146" s="31">
        <f t="shared" ref="J146:J148" si="26">I146*F146</f>
        <v>0</v>
      </c>
      <c r="K146" s="30"/>
      <c r="L146" s="30"/>
      <c r="M146" s="31">
        <f t="shared" si="25"/>
        <v>0</v>
      </c>
    </row>
    <row r="147" spans="1:13" ht="14.25" customHeight="1">
      <c r="A147" s="26"/>
      <c r="B147" s="32" t="s">
        <v>115</v>
      </c>
      <c r="C147" s="26" t="s">
        <v>34</v>
      </c>
      <c r="D147" s="30" t="s">
        <v>19</v>
      </c>
      <c r="E147" s="30">
        <v>0.16</v>
      </c>
      <c r="F147" s="31">
        <f>E147*F143</f>
        <v>8.320000000000001E-2</v>
      </c>
      <c r="G147" s="30"/>
      <c r="H147" s="30"/>
      <c r="I147" s="30">
        <v>0</v>
      </c>
      <c r="J147" s="31">
        <f t="shared" si="26"/>
        <v>0</v>
      </c>
      <c r="K147" s="30"/>
      <c r="L147" s="30"/>
      <c r="M147" s="31">
        <f t="shared" si="25"/>
        <v>0</v>
      </c>
    </row>
    <row r="148" spans="1:13" ht="14.25" customHeight="1">
      <c r="A148" s="26"/>
      <c r="B148" s="27"/>
      <c r="C148" s="26" t="s">
        <v>16</v>
      </c>
      <c r="D148" s="30" t="s">
        <v>15</v>
      </c>
      <c r="E148" s="30">
        <v>6.64</v>
      </c>
      <c r="F148" s="31">
        <f>E148*F143</f>
        <v>3.4527999999999999</v>
      </c>
      <c r="G148" s="30"/>
      <c r="H148" s="30"/>
      <c r="I148" s="30">
        <v>0</v>
      </c>
      <c r="J148" s="31">
        <f t="shared" si="26"/>
        <v>0</v>
      </c>
      <c r="K148" s="30"/>
      <c r="L148" s="30"/>
      <c r="M148" s="31">
        <f t="shared" si="25"/>
        <v>0</v>
      </c>
    </row>
    <row r="149" spans="1:13" ht="25.5" customHeight="1">
      <c r="A149" s="10">
        <v>26</v>
      </c>
      <c r="B149" s="11" t="s">
        <v>71</v>
      </c>
      <c r="C149" s="12" t="s">
        <v>240</v>
      </c>
      <c r="D149" s="10" t="s">
        <v>23</v>
      </c>
      <c r="E149" s="10"/>
      <c r="F149" s="21">
        <v>500</v>
      </c>
      <c r="G149" s="14"/>
      <c r="H149" s="14"/>
      <c r="I149" s="14"/>
      <c r="J149" s="14"/>
      <c r="K149" s="14"/>
      <c r="L149" s="14"/>
      <c r="M149" s="14"/>
    </row>
    <row r="150" spans="1:13" ht="14.25" customHeight="1">
      <c r="A150" s="10"/>
      <c r="B150" s="15"/>
      <c r="C150" s="16" t="s">
        <v>17</v>
      </c>
      <c r="D150" s="17" t="s">
        <v>14</v>
      </c>
      <c r="E150" s="14">
        <v>0.186</v>
      </c>
      <c r="F150" s="18">
        <f>E150*F149</f>
        <v>93</v>
      </c>
      <c r="G150" s="14">
        <v>0</v>
      </c>
      <c r="H150" s="18">
        <f>G150*F150</f>
        <v>0</v>
      </c>
      <c r="I150" s="14"/>
      <c r="J150" s="14"/>
      <c r="K150" s="14"/>
      <c r="L150" s="14"/>
      <c r="M150" s="18">
        <f>L150+J150+H150</f>
        <v>0</v>
      </c>
    </row>
    <row r="151" spans="1:13" ht="14.25" customHeight="1">
      <c r="A151" s="10"/>
      <c r="B151" s="15"/>
      <c r="C151" s="16" t="s">
        <v>36</v>
      </c>
      <c r="D151" s="17" t="s">
        <v>15</v>
      </c>
      <c r="E151" s="14">
        <v>1.6000000000000001E-3</v>
      </c>
      <c r="F151" s="18">
        <f>E151*F149</f>
        <v>0.8</v>
      </c>
      <c r="G151" s="14"/>
      <c r="H151" s="18"/>
      <c r="I151" s="14"/>
      <c r="J151" s="14"/>
      <c r="K151" s="14">
        <v>0</v>
      </c>
      <c r="L151" s="18">
        <f>K151*F151</f>
        <v>0</v>
      </c>
      <c r="M151" s="18">
        <f t="shared" ref="M151" si="27">L151+J151+H151</f>
        <v>0</v>
      </c>
    </row>
    <row r="152" spans="1:13" ht="25.5" customHeight="1">
      <c r="A152" s="10">
        <v>27</v>
      </c>
      <c r="B152" s="34" t="s">
        <v>174</v>
      </c>
      <c r="C152" s="12" t="s">
        <v>128</v>
      </c>
      <c r="D152" s="10" t="s">
        <v>23</v>
      </c>
      <c r="E152" s="10"/>
      <c r="F152" s="13">
        <v>250</v>
      </c>
      <c r="G152" s="30"/>
      <c r="H152" s="30"/>
      <c r="I152" s="30"/>
      <c r="J152" s="30"/>
      <c r="K152" s="30"/>
      <c r="L152" s="30"/>
      <c r="M152" s="18"/>
    </row>
    <row r="153" spans="1:13" ht="14.25" customHeight="1">
      <c r="A153" s="26"/>
      <c r="B153" s="27"/>
      <c r="C153" s="28" t="s">
        <v>153</v>
      </c>
      <c r="D153" s="29" t="s">
        <v>14</v>
      </c>
      <c r="E153" s="30">
        <f>0.93*1.15</f>
        <v>1.0694999999999999</v>
      </c>
      <c r="F153" s="31">
        <f>E153*F152</f>
        <v>267.375</v>
      </c>
      <c r="G153" s="30">
        <v>0</v>
      </c>
      <c r="H153" s="31">
        <f>G153*F153</f>
        <v>0</v>
      </c>
      <c r="I153" s="30"/>
      <c r="J153" s="30"/>
      <c r="K153" s="30"/>
      <c r="L153" s="30"/>
      <c r="M153" s="31">
        <f>L153+J153+H153</f>
        <v>0</v>
      </c>
    </row>
    <row r="154" spans="1:13" ht="14.25" customHeight="1">
      <c r="A154" s="26"/>
      <c r="B154" s="45" t="s">
        <v>242</v>
      </c>
      <c r="C154" s="28" t="s">
        <v>154</v>
      </c>
      <c r="D154" s="29" t="s">
        <v>33</v>
      </c>
      <c r="E154" s="30">
        <f>0.024*1.25</f>
        <v>0.03</v>
      </c>
      <c r="F154" s="31">
        <f>E154*F152</f>
        <v>7.5</v>
      </c>
      <c r="G154" s="30"/>
      <c r="H154" s="31"/>
      <c r="I154" s="30"/>
      <c r="J154" s="30"/>
      <c r="K154" s="30">
        <v>0</v>
      </c>
      <c r="L154" s="31">
        <f>K154*F154</f>
        <v>0</v>
      </c>
      <c r="M154" s="31">
        <f>L154+J154+H154</f>
        <v>0</v>
      </c>
    </row>
    <row r="155" spans="1:13" ht="14.25" customHeight="1">
      <c r="A155" s="26"/>
      <c r="B155" s="32"/>
      <c r="C155" s="28" t="s">
        <v>155</v>
      </c>
      <c r="D155" s="29" t="s">
        <v>15</v>
      </c>
      <c r="E155" s="30">
        <f>0.026*1.25</f>
        <v>3.2500000000000001E-2</v>
      </c>
      <c r="F155" s="31">
        <f>E155*F152</f>
        <v>8.125</v>
      </c>
      <c r="G155" s="30"/>
      <c r="H155" s="30"/>
      <c r="I155" s="30"/>
      <c r="J155" s="30"/>
      <c r="K155" s="30">
        <v>0</v>
      </c>
      <c r="L155" s="31">
        <f>K155*F155</f>
        <v>0</v>
      </c>
      <c r="M155" s="31">
        <f>L155+J155+H155</f>
        <v>0</v>
      </c>
    </row>
    <row r="156" spans="1:13" ht="14.25" customHeight="1">
      <c r="A156" s="26"/>
      <c r="B156" s="32" t="s">
        <v>126</v>
      </c>
      <c r="C156" s="26" t="s">
        <v>46</v>
      </c>
      <c r="D156" s="30" t="s">
        <v>19</v>
      </c>
      <c r="E156" s="30">
        <v>2.5499999999999998E-2</v>
      </c>
      <c r="F156" s="31">
        <f>E156*F152</f>
        <v>6.375</v>
      </c>
      <c r="G156" s="30"/>
      <c r="H156" s="30"/>
      <c r="I156" s="30">
        <v>0</v>
      </c>
      <c r="J156" s="31">
        <f t="shared" ref="J156" si="28">I156*F156</f>
        <v>0</v>
      </c>
      <c r="K156" s="30"/>
      <c r="L156" s="30"/>
      <c r="M156" s="31">
        <f>L156+J156+H156</f>
        <v>0</v>
      </c>
    </row>
    <row r="157" spans="1:13" ht="25.5" customHeight="1">
      <c r="A157" s="10">
        <v>28</v>
      </c>
      <c r="B157" s="34" t="s">
        <v>175</v>
      </c>
      <c r="C157" s="12" t="s">
        <v>127</v>
      </c>
      <c r="D157" s="10" t="s">
        <v>23</v>
      </c>
      <c r="E157" s="10"/>
      <c r="F157" s="13">
        <v>250</v>
      </c>
      <c r="G157" s="30"/>
      <c r="H157" s="30"/>
      <c r="I157" s="30"/>
      <c r="J157" s="30"/>
      <c r="K157" s="30"/>
      <c r="L157" s="30"/>
      <c r="M157" s="18"/>
    </row>
    <row r="158" spans="1:13" ht="14.25" customHeight="1">
      <c r="A158" s="26"/>
      <c r="B158" s="27"/>
      <c r="C158" s="28" t="s">
        <v>158</v>
      </c>
      <c r="D158" s="29" t="s">
        <v>14</v>
      </c>
      <c r="E158" s="30">
        <f>1.01*1.16*1.15</f>
        <v>1.3473399999999998</v>
      </c>
      <c r="F158" s="31">
        <f>E158*F157</f>
        <v>336.83499999999992</v>
      </c>
      <c r="G158" s="30">
        <v>0</v>
      </c>
      <c r="H158" s="31">
        <f>G158*F158</f>
        <v>0</v>
      </c>
      <c r="I158" s="30"/>
      <c r="J158" s="30"/>
      <c r="K158" s="30"/>
      <c r="L158" s="30"/>
      <c r="M158" s="31">
        <f t="shared" ref="M158:M162" si="29">L158+J158+H158</f>
        <v>0</v>
      </c>
    </row>
    <row r="159" spans="1:13" ht="14.25" customHeight="1">
      <c r="A159" s="26"/>
      <c r="B159" s="45" t="s">
        <v>241</v>
      </c>
      <c r="C159" s="28" t="s">
        <v>156</v>
      </c>
      <c r="D159" s="29" t="s">
        <v>33</v>
      </c>
      <c r="E159" s="30">
        <f>0.041*1.25</f>
        <v>5.1250000000000004E-2</v>
      </c>
      <c r="F159" s="31">
        <f>E159*F157</f>
        <v>12.812500000000002</v>
      </c>
      <c r="G159" s="30"/>
      <c r="H159" s="31"/>
      <c r="I159" s="30"/>
      <c r="J159" s="30"/>
      <c r="K159" s="30">
        <v>0</v>
      </c>
      <c r="L159" s="31">
        <f>K159*F159</f>
        <v>0</v>
      </c>
      <c r="M159" s="31">
        <f t="shared" si="29"/>
        <v>0</v>
      </c>
    </row>
    <row r="160" spans="1:13" ht="14.25" customHeight="1">
      <c r="A160" s="26"/>
      <c r="B160" s="32"/>
      <c r="C160" s="28" t="s">
        <v>157</v>
      </c>
      <c r="D160" s="29" t="s">
        <v>15</v>
      </c>
      <c r="E160" s="30">
        <f>0.027*1.25</f>
        <v>3.3750000000000002E-2</v>
      </c>
      <c r="F160" s="31">
        <f>E160*F157</f>
        <v>8.4375</v>
      </c>
      <c r="G160" s="30"/>
      <c r="H160" s="30"/>
      <c r="I160" s="30"/>
      <c r="J160" s="30"/>
      <c r="K160" s="30">
        <v>0</v>
      </c>
      <c r="L160" s="31">
        <f>K160*F160</f>
        <v>0</v>
      </c>
      <c r="M160" s="31">
        <f t="shared" si="29"/>
        <v>0</v>
      </c>
    </row>
    <row r="161" spans="1:13" ht="14.25" customHeight="1">
      <c r="A161" s="26"/>
      <c r="B161" s="32" t="s">
        <v>126</v>
      </c>
      <c r="C161" s="26" t="s">
        <v>46</v>
      </c>
      <c r="D161" s="30" t="s">
        <v>19</v>
      </c>
      <c r="E161" s="30">
        <v>2.3800000000000002E-2</v>
      </c>
      <c r="F161" s="31">
        <f>E161*F157</f>
        <v>5.95</v>
      </c>
      <c r="G161" s="30"/>
      <c r="H161" s="30"/>
      <c r="I161" s="30">
        <v>0</v>
      </c>
      <c r="J161" s="31">
        <f t="shared" ref="J161:J162" si="30">I161*F161</f>
        <v>0</v>
      </c>
      <c r="K161" s="30"/>
      <c r="L161" s="30"/>
      <c r="M161" s="31">
        <f t="shared" si="29"/>
        <v>0</v>
      </c>
    </row>
    <row r="162" spans="1:13" ht="14.25" customHeight="1">
      <c r="A162" s="26"/>
      <c r="B162" s="27"/>
      <c r="C162" s="26" t="s">
        <v>16</v>
      </c>
      <c r="D162" s="30" t="s">
        <v>15</v>
      </c>
      <c r="E162" s="30">
        <v>3.0000000000000001E-3</v>
      </c>
      <c r="F162" s="31">
        <f>E162*F157</f>
        <v>0.75</v>
      </c>
      <c r="G162" s="30"/>
      <c r="H162" s="30"/>
      <c r="I162" s="30">
        <v>0</v>
      </c>
      <c r="J162" s="31">
        <f t="shared" si="30"/>
        <v>0</v>
      </c>
      <c r="K162" s="30"/>
      <c r="L162" s="30"/>
      <c r="M162" s="31">
        <f t="shared" si="29"/>
        <v>0</v>
      </c>
    </row>
    <row r="163" spans="1:13" ht="25.5" customHeight="1">
      <c r="A163" s="10">
        <v>29</v>
      </c>
      <c r="B163" s="11" t="s">
        <v>176</v>
      </c>
      <c r="C163" s="12" t="s">
        <v>131</v>
      </c>
      <c r="D163" s="10" t="s">
        <v>23</v>
      </c>
      <c r="E163" s="10"/>
      <c r="F163" s="13">
        <v>250</v>
      </c>
      <c r="G163" s="30"/>
      <c r="H163" s="30"/>
      <c r="I163" s="30"/>
      <c r="J163" s="30"/>
      <c r="K163" s="30"/>
      <c r="L163" s="30"/>
      <c r="M163" s="18"/>
    </row>
    <row r="164" spans="1:13" ht="14.25" customHeight="1">
      <c r="A164" s="26"/>
      <c r="B164" s="27"/>
      <c r="C164" s="28" t="s">
        <v>162</v>
      </c>
      <c r="D164" s="29" t="s">
        <v>14</v>
      </c>
      <c r="E164" s="30">
        <f>0.658*1.15</f>
        <v>0.75669999999999993</v>
      </c>
      <c r="F164" s="31">
        <f>E164*F163</f>
        <v>189.17499999999998</v>
      </c>
      <c r="G164" s="30">
        <v>0</v>
      </c>
      <c r="H164" s="31">
        <f>G164*F164</f>
        <v>0</v>
      </c>
      <c r="I164" s="30"/>
      <c r="J164" s="30"/>
      <c r="K164" s="30"/>
      <c r="L164" s="30"/>
      <c r="M164" s="31">
        <f t="shared" ref="M164:M168" si="31">L164+J164+H164</f>
        <v>0</v>
      </c>
    </row>
    <row r="165" spans="1:13" ht="14.25" customHeight="1">
      <c r="A165" s="26"/>
      <c r="B165" s="27"/>
      <c r="C165" s="28" t="s">
        <v>163</v>
      </c>
      <c r="D165" s="29" t="s">
        <v>15</v>
      </c>
      <c r="E165" s="30">
        <f>0.01*1.25</f>
        <v>1.2500000000000001E-2</v>
      </c>
      <c r="F165" s="31">
        <f>E165*F163</f>
        <v>3.125</v>
      </c>
      <c r="G165" s="30"/>
      <c r="H165" s="30"/>
      <c r="I165" s="30"/>
      <c r="J165" s="30"/>
      <c r="K165" s="30">
        <v>0</v>
      </c>
      <c r="L165" s="31">
        <f>K165*F165</f>
        <v>0</v>
      </c>
      <c r="M165" s="31">
        <f t="shared" si="31"/>
        <v>0</v>
      </c>
    </row>
    <row r="166" spans="1:13" ht="14.25" customHeight="1">
      <c r="A166" s="26"/>
      <c r="B166" s="32" t="s">
        <v>129</v>
      </c>
      <c r="C166" s="26" t="s">
        <v>58</v>
      </c>
      <c r="D166" s="30" t="s">
        <v>24</v>
      </c>
      <c r="E166" s="30">
        <v>0.63</v>
      </c>
      <c r="F166" s="31">
        <f>E166*F163</f>
        <v>157.5</v>
      </c>
      <c r="G166" s="30"/>
      <c r="H166" s="30"/>
      <c r="I166" s="30">
        <v>0</v>
      </c>
      <c r="J166" s="31">
        <f t="shared" ref="J166:J168" si="32">I166*F166</f>
        <v>0</v>
      </c>
      <c r="K166" s="30"/>
      <c r="L166" s="30"/>
      <c r="M166" s="31">
        <f t="shared" si="31"/>
        <v>0</v>
      </c>
    </row>
    <row r="167" spans="1:13" ht="14.25" customHeight="1">
      <c r="A167" s="26"/>
      <c r="B167" s="32" t="s">
        <v>130</v>
      </c>
      <c r="C167" s="26" t="s">
        <v>59</v>
      </c>
      <c r="D167" s="30" t="s">
        <v>24</v>
      </c>
      <c r="E167" s="30">
        <v>0.79</v>
      </c>
      <c r="F167" s="31">
        <f>E167*F163</f>
        <v>197.5</v>
      </c>
      <c r="G167" s="30"/>
      <c r="H167" s="30"/>
      <c r="I167" s="30">
        <v>0</v>
      </c>
      <c r="J167" s="31">
        <f t="shared" si="32"/>
        <v>0</v>
      </c>
      <c r="K167" s="30"/>
      <c r="L167" s="30"/>
      <c r="M167" s="31">
        <f t="shared" si="31"/>
        <v>0</v>
      </c>
    </row>
    <row r="168" spans="1:13" ht="14.25" customHeight="1">
      <c r="A168" s="26"/>
      <c r="B168" s="27"/>
      <c r="C168" s="26" t="s">
        <v>16</v>
      </c>
      <c r="D168" s="30" t="s">
        <v>15</v>
      </c>
      <c r="E168" s="30">
        <v>1.6E-2</v>
      </c>
      <c r="F168" s="31">
        <f>E168*F163</f>
        <v>4</v>
      </c>
      <c r="G168" s="30"/>
      <c r="H168" s="30"/>
      <c r="I168" s="30">
        <v>0</v>
      </c>
      <c r="J168" s="31">
        <f t="shared" si="32"/>
        <v>0</v>
      </c>
      <c r="K168" s="30"/>
      <c r="L168" s="30"/>
      <c r="M168" s="31">
        <f t="shared" si="31"/>
        <v>0</v>
      </c>
    </row>
    <row r="169" spans="1:13" ht="25.5" customHeight="1">
      <c r="A169" s="10">
        <v>30</v>
      </c>
      <c r="B169" s="11" t="s">
        <v>177</v>
      </c>
      <c r="C169" s="12" t="s">
        <v>132</v>
      </c>
      <c r="D169" s="10" t="s">
        <v>23</v>
      </c>
      <c r="E169" s="10"/>
      <c r="F169" s="13">
        <v>250</v>
      </c>
      <c r="G169" s="30"/>
      <c r="H169" s="30"/>
      <c r="I169" s="30"/>
      <c r="J169" s="30"/>
      <c r="K169" s="30"/>
      <c r="L169" s="30"/>
      <c r="M169" s="18"/>
    </row>
    <row r="170" spans="1:13" ht="14.25" customHeight="1">
      <c r="A170" s="26"/>
      <c r="B170" s="27"/>
      <c r="C170" s="28" t="s">
        <v>164</v>
      </c>
      <c r="D170" s="29" t="s">
        <v>14</v>
      </c>
      <c r="E170" s="30">
        <f>0.139*1.15</f>
        <v>0.15984999999999999</v>
      </c>
      <c r="F170" s="31">
        <f>E170*F169</f>
        <v>39.962499999999999</v>
      </c>
      <c r="G170" s="30">
        <v>0</v>
      </c>
      <c r="H170" s="31">
        <f>G170*F170</f>
        <v>0</v>
      </c>
      <c r="I170" s="30"/>
      <c r="J170" s="30"/>
      <c r="K170" s="30"/>
      <c r="L170" s="30"/>
      <c r="M170" s="31">
        <f t="shared" ref="M170:M175" si="33">L170+J170+H170</f>
        <v>0</v>
      </c>
    </row>
    <row r="171" spans="1:13" ht="14.25" customHeight="1">
      <c r="A171" s="26"/>
      <c r="B171" s="27"/>
      <c r="C171" s="28" t="s">
        <v>165</v>
      </c>
      <c r="D171" s="29" t="s">
        <v>15</v>
      </c>
      <c r="E171" s="30">
        <f>0.007*1.25</f>
        <v>8.7500000000000008E-3</v>
      </c>
      <c r="F171" s="31">
        <f>E171*F169</f>
        <v>2.1875</v>
      </c>
      <c r="G171" s="30"/>
      <c r="H171" s="30"/>
      <c r="I171" s="30"/>
      <c r="J171" s="30"/>
      <c r="K171" s="30">
        <v>0</v>
      </c>
      <c r="L171" s="31">
        <f>K171*F171</f>
        <v>0</v>
      </c>
      <c r="M171" s="31">
        <f t="shared" si="33"/>
        <v>0</v>
      </c>
    </row>
    <row r="172" spans="1:13" ht="14.25" customHeight="1">
      <c r="A172" s="26"/>
      <c r="B172" s="32" t="s">
        <v>133</v>
      </c>
      <c r="C172" s="26" t="s">
        <v>134</v>
      </c>
      <c r="D172" s="30" t="s">
        <v>24</v>
      </c>
      <c r="E172" s="30">
        <v>0.69</v>
      </c>
      <c r="F172" s="31">
        <f>E172*F169</f>
        <v>172.5</v>
      </c>
      <c r="G172" s="30"/>
      <c r="H172" s="30"/>
      <c r="I172" s="30">
        <v>0</v>
      </c>
      <c r="J172" s="31">
        <f t="shared" ref="J172:J175" si="34">I172*F172</f>
        <v>0</v>
      </c>
      <c r="K172" s="30"/>
      <c r="L172" s="30"/>
      <c r="M172" s="31">
        <f t="shared" si="33"/>
        <v>0</v>
      </c>
    </row>
    <row r="173" spans="1:13" ht="14.25" customHeight="1">
      <c r="A173" s="26"/>
      <c r="B173" s="32" t="s">
        <v>135</v>
      </c>
      <c r="C173" s="26" t="s">
        <v>59</v>
      </c>
      <c r="D173" s="30" t="s">
        <v>24</v>
      </c>
      <c r="E173" s="30">
        <v>0.12</v>
      </c>
      <c r="F173" s="31">
        <f>E173*F169</f>
        <v>30</v>
      </c>
      <c r="G173" s="30"/>
      <c r="H173" s="30"/>
      <c r="I173" s="30">
        <v>0</v>
      </c>
      <c r="J173" s="31">
        <f t="shared" si="34"/>
        <v>0</v>
      </c>
      <c r="K173" s="30"/>
      <c r="L173" s="30"/>
      <c r="M173" s="31">
        <f t="shared" si="33"/>
        <v>0</v>
      </c>
    </row>
    <row r="174" spans="1:13" ht="14.25" customHeight="1">
      <c r="A174" s="26"/>
      <c r="B174" s="32" t="s">
        <v>136</v>
      </c>
      <c r="C174" s="26" t="s">
        <v>98</v>
      </c>
      <c r="D174" s="30" t="s">
        <v>24</v>
      </c>
      <c r="E174" s="30">
        <v>0.15</v>
      </c>
      <c r="F174" s="31">
        <f>E174*F169</f>
        <v>37.5</v>
      </c>
      <c r="G174" s="30"/>
      <c r="H174" s="30"/>
      <c r="I174" s="30">
        <v>0</v>
      </c>
      <c r="J174" s="31">
        <f t="shared" si="34"/>
        <v>0</v>
      </c>
      <c r="K174" s="30"/>
      <c r="L174" s="30"/>
      <c r="M174" s="31">
        <f t="shared" si="33"/>
        <v>0</v>
      </c>
    </row>
    <row r="175" spans="1:13" ht="14.25" customHeight="1">
      <c r="A175" s="26"/>
      <c r="B175" s="27"/>
      <c r="C175" s="26" t="s">
        <v>16</v>
      </c>
      <c r="D175" s="30" t="s">
        <v>15</v>
      </c>
      <c r="E175" s="30">
        <v>3.3999999999999998E-3</v>
      </c>
      <c r="F175" s="31">
        <f>E175*F169</f>
        <v>0.85</v>
      </c>
      <c r="G175" s="30"/>
      <c r="H175" s="30"/>
      <c r="I175" s="30">
        <v>0</v>
      </c>
      <c r="J175" s="31">
        <f t="shared" si="34"/>
        <v>0</v>
      </c>
      <c r="K175" s="30"/>
      <c r="L175" s="30"/>
      <c r="M175" s="31">
        <f t="shared" si="33"/>
        <v>0</v>
      </c>
    </row>
    <row r="176" spans="1:13" ht="25.5" customHeight="1">
      <c r="A176" s="10">
        <v>31</v>
      </c>
      <c r="B176" s="11" t="s">
        <v>78</v>
      </c>
      <c r="C176" s="12" t="s">
        <v>77</v>
      </c>
      <c r="D176" s="10" t="s">
        <v>23</v>
      </c>
      <c r="E176" s="10"/>
      <c r="F176" s="21">
        <v>15</v>
      </c>
      <c r="G176" s="14"/>
      <c r="H176" s="14"/>
      <c r="I176" s="14"/>
      <c r="J176" s="14"/>
      <c r="K176" s="14"/>
      <c r="L176" s="14"/>
      <c r="M176" s="14"/>
    </row>
    <row r="177" spans="1:13" ht="14.25" customHeight="1">
      <c r="A177" s="10"/>
      <c r="B177" s="15"/>
      <c r="C177" s="16" t="s">
        <v>17</v>
      </c>
      <c r="D177" s="17" t="s">
        <v>14</v>
      </c>
      <c r="E177" s="14">
        <v>1.56</v>
      </c>
      <c r="F177" s="18">
        <f>E177*F176</f>
        <v>23.400000000000002</v>
      </c>
      <c r="G177" s="14">
        <v>0</v>
      </c>
      <c r="H177" s="18">
        <f>G177*F177</f>
        <v>0</v>
      </c>
      <c r="I177" s="14"/>
      <c r="J177" s="14"/>
      <c r="K177" s="14"/>
      <c r="L177" s="14"/>
      <c r="M177" s="18">
        <f>L177+J177+H177</f>
        <v>0</v>
      </c>
    </row>
    <row r="178" spans="1:13" ht="14.25" customHeight="1">
      <c r="A178" s="10"/>
      <c r="B178" s="15"/>
      <c r="C178" s="16" t="s">
        <v>36</v>
      </c>
      <c r="D178" s="17" t="s">
        <v>15</v>
      </c>
      <c r="E178" s="14">
        <v>9.8400000000000001E-2</v>
      </c>
      <c r="F178" s="18">
        <f>E178*F176</f>
        <v>1.476</v>
      </c>
      <c r="G178" s="14"/>
      <c r="H178" s="18"/>
      <c r="I178" s="14"/>
      <c r="J178" s="14"/>
      <c r="K178" s="14">
        <v>0</v>
      </c>
      <c r="L178" s="18">
        <f>K178*F178</f>
        <v>0</v>
      </c>
      <c r="M178" s="18">
        <f t="shared" ref="M178" si="35">L178+J178+H178</f>
        <v>0</v>
      </c>
    </row>
    <row r="179" spans="1:13" ht="25.5" customHeight="1">
      <c r="A179" s="10">
        <v>32</v>
      </c>
      <c r="B179" s="11" t="s">
        <v>87</v>
      </c>
      <c r="C179" s="12" t="s">
        <v>145</v>
      </c>
      <c r="D179" s="10" t="s">
        <v>23</v>
      </c>
      <c r="E179" s="10"/>
      <c r="F179" s="21">
        <v>15</v>
      </c>
      <c r="G179" s="14"/>
      <c r="H179" s="14"/>
      <c r="I179" s="14"/>
      <c r="J179" s="14"/>
      <c r="K179" s="14"/>
      <c r="L179" s="14"/>
      <c r="M179" s="14"/>
    </row>
    <row r="180" spans="1:13" ht="14.25" customHeight="1">
      <c r="A180" s="10"/>
      <c r="B180" s="27"/>
      <c r="C180" s="28" t="s">
        <v>17</v>
      </c>
      <c r="D180" s="29" t="s">
        <v>14</v>
      </c>
      <c r="E180" s="30">
        <v>2.72</v>
      </c>
      <c r="F180" s="31">
        <f>E180*F179</f>
        <v>40.800000000000004</v>
      </c>
      <c r="G180" s="30">
        <v>0</v>
      </c>
      <c r="H180" s="31">
        <f>G180*F180</f>
        <v>0</v>
      </c>
      <c r="I180" s="30"/>
      <c r="J180" s="30"/>
      <c r="K180" s="30"/>
      <c r="L180" s="30"/>
      <c r="M180" s="31">
        <f>L180+J180+H180</f>
        <v>0</v>
      </c>
    </row>
    <row r="181" spans="1:13" ht="14.25" customHeight="1">
      <c r="A181" s="10"/>
      <c r="B181" s="27"/>
      <c r="C181" s="28" t="s">
        <v>36</v>
      </c>
      <c r="D181" s="29" t="s">
        <v>15</v>
      </c>
      <c r="E181" s="30">
        <v>0.65200000000000002</v>
      </c>
      <c r="F181" s="31">
        <f>E181*F179</f>
        <v>9.7800000000000011</v>
      </c>
      <c r="G181" s="30"/>
      <c r="H181" s="31"/>
      <c r="I181" s="30"/>
      <c r="J181" s="30"/>
      <c r="K181" s="30">
        <v>0</v>
      </c>
      <c r="L181" s="31">
        <f>K181*F181</f>
        <v>0</v>
      </c>
      <c r="M181" s="31">
        <f t="shared" ref="M181:M182" si="36">L181+J181+H181</f>
        <v>0</v>
      </c>
    </row>
    <row r="182" spans="1:13" ht="14.25" customHeight="1">
      <c r="A182" s="26"/>
      <c r="B182" s="32" t="s">
        <v>125</v>
      </c>
      <c r="C182" s="26" t="s">
        <v>124</v>
      </c>
      <c r="D182" s="30" t="s">
        <v>23</v>
      </c>
      <c r="E182" s="30">
        <v>1</v>
      </c>
      <c r="F182" s="31">
        <f>E182*F179</f>
        <v>15</v>
      </c>
      <c r="G182" s="30"/>
      <c r="H182" s="30"/>
      <c r="I182" s="30">
        <v>0</v>
      </c>
      <c r="J182" s="31">
        <f>I182*F182</f>
        <v>0</v>
      </c>
      <c r="K182" s="30"/>
      <c r="L182" s="30"/>
      <c r="M182" s="31">
        <f t="shared" si="36"/>
        <v>0</v>
      </c>
    </row>
    <row r="183" spans="1:13" ht="25.5" customHeight="1">
      <c r="A183" s="10">
        <v>33</v>
      </c>
      <c r="B183" s="11" t="s">
        <v>82</v>
      </c>
      <c r="C183" s="12" t="s">
        <v>79</v>
      </c>
      <c r="D183" s="10" t="s">
        <v>23</v>
      </c>
      <c r="E183" s="10"/>
      <c r="F183" s="21">
        <v>9.1999999999999993</v>
      </c>
      <c r="G183" s="14"/>
      <c r="H183" s="14"/>
      <c r="I183" s="14"/>
      <c r="J183" s="14"/>
      <c r="K183" s="14"/>
      <c r="L183" s="14"/>
      <c r="M183" s="14"/>
    </row>
    <row r="184" spans="1:13" ht="14.25" customHeight="1">
      <c r="A184" s="10"/>
      <c r="B184" s="27"/>
      <c r="C184" s="28" t="s">
        <v>17</v>
      </c>
      <c r="D184" s="29" t="s">
        <v>14</v>
      </c>
      <c r="E184" s="30">
        <v>0.88700000000000001</v>
      </c>
      <c r="F184" s="31">
        <f>E184*F183</f>
        <v>8.1603999999999992</v>
      </c>
      <c r="G184" s="30">
        <v>0</v>
      </c>
      <c r="H184" s="31">
        <f>G184*F184</f>
        <v>0</v>
      </c>
      <c r="I184" s="30"/>
      <c r="J184" s="30"/>
      <c r="K184" s="30"/>
      <c r="L184" s="30"/>
      <c r="M184" s="31">
        <f>L184+J184+H184</f>
        <v>0</v>
      </c>
    </row>
    <row r="185" spans="1:13" ht="14.25" customHeight="1">
      <c r="A185" s="10"/>
      <c r="B185" s="27"/>
      <c r="C185" s="28" t="s">
        <v>36</v>
      </c>
      <c r="D185" s="29" t="s">
        <v>15</v>
      </c>
      <c r="E185" s="30">
        <v>9.8400000000000001E-2</v>
      </c>
      <c r="F185" s="31">
        <f>E185*F183</f>
        <v>0.90527999999999997</v>
      </c>
      <c r="G185" s="30"/>
      <c r="H185" s="31"/>
      <c r="I185" s="30"/>
      <c r="J185" s="30"/>
      <c r="K185" s="30">
        <v>0</v>
      </c>
      <c r="L185" s="31">
        <f>K185*F185</f>
        <v>0</v>
      </c>
      <c r="M185" s="31">
        <f t="shared" ref="M185" si="37">L185+J185+H185</f>
        <v>0</v>
      </c>
    </row>
    <row r="186" spans="1:13" ht="25.5" customHeight="1">
      <c r="A186" s="10">
        <v>34</v>
      </c>
      <c r="B186" s="11" t="s">
        <v>88</v>
      </c>
      <c r="C186" s="12" t="s">
        <v>101</v>
      </c>
      <c r="D186" s="10" t="s">
        <v>23</v>
      </c>
      <c r="E186" s="10"/>
      <c r="F186" s="21">
        <v>9.1999999999999993</v>
      </c>
      <c r="G186" s="14"/>
      <c r="H186" s="14"/>
      <c r="I186" s="14"/>
      <c r="J186" s="14"/>
      <c r="K186" s="14"/>
      <c r="L186" s="14"/>
      <c r="M186" s="14"/>
    </row>
    <row r="187" spans="1:13" ht="14.25" customHeight="1">
      <c r="A187" s="10"/>
      <c r="B187" s="15"/>
      <c r="C187" s="16" t="s">
        <v>17</v>
      </c>
      <c r="D187" s="17" t="s">
        <v>14</v>
      </c>
      <c r="E187" s="14">
        <v>2.72</v>
      </c>
      <c r="F187" s="18">
        <f>E187*F186</f>
        <v>25.024000000000001</v>
      </c>
      <c r="G187" s="14">
        <v>0</v>
      </c>
      <c r="H187" s="18">
        <f>G187*F187</f>
        <v>0</v>
      </c>
      <c r="I187" s="14"/>
      <c r="J187" s="14"/>
      <c r="K187" s="14"/>
      <c r="L187" s="14"/>
      <c r="M187" s="18">
        <f>L187+J187+H187</f>
        <v>0</v>
      </c>
    </row>
    <row r="188" spans="1:13" ht="14.25" customHeight="1">
      <c r="A188" s="10"/>
      <c r="B188" s="15"/>
      <c r="C188" s="16" t="s">
        <v>36</v>
      </c>
      <c r="D188" s="17" t="s">
        <v>15</v>
      </c>
      <c r="E188" s="14">
        <v>0.65200000000000002</v>
      </c>
      <c r="F188" s="18">
        <f>E188*F186</f>
        <v>5.9984000000000002</v>
      </c>
      <c r="G188" s="14"/>
      <c r="H188" s="18"/>
      <c r="I188" s="14"/>
      <c r="J188" s="14"/>
      <c r="K188" s="14">
        <v>0</v>
      </c>
      <c r="L188" s="18">
        <f>K188*F188</f>
        <v>0</v>
      </c>
      <c r="M188" s="18">
        <f t="shared" ref="M188" si="38">L188+J188+H188</f>
        <v>0</v>
      </c>
    </row>
    <row r="189" spans="1:13" ht="25.5" customHeight="1">
      <c r="A189" s="10">
        <v>35</v>
      </c>
      <c r="B189" s="11" t="s">
        <v>80</v>
      </c>
      <c r="C189" s="12" t="s">
        <v>81</v>
      </c>
      <c r="D189" s="10" t="s">
        <v>23</v>
      </c>
      <c r="E189" s="10"/>
      <c r="F189" s="21">
        <v>3.4</v>
      </c>
      <c r="G189" s="14"/>
      <c r="H189" s="14"/>
      <c r="I189" s="14"/>
      <c r="J189" s="14"/>
      <c r="K189" s="14"/>
      <c r="L189" s="14"/>
      <c r="M189" s="14"/>
    </row>
    <row r="190" spans="1:13" ht="14.25" customHeight="1">
      <c r="A190" s="10"/>
      <c r="B190" s="15"/>
      <c r="C190" s="16" t="s">
        <v>17</v>
      </c>
      <c r="D190" s="17" t="s">
        <v>14</v>
      </c>
      <c r="E190" s="14">
        <v>0.88700000000000001</v>
      </c>
      <c r="F190" s="18">
        <f>E190*F189</f>
        <v>3.0158</v>
      </c>
      <c r="G190" s="14">
        <v>0</v>
      </c>
      <c r="H190" s="18">
        <f>G190*F190</f>
        <v>0</v>
      </c>
      <c r="I190" s="14"/>
      <c r="J190" s="14"/>
      <c r="K190" s="14"/>
      <c r="L190" s="14"/>
      <c r="M190" s="18">
        <f>L190+J190+H190</f>
        <v>0</v>
      </c>
    </row>
    <row r="191" spans="1:13" ht="14.25" customHeight="1">
      <c r="A191" s="10"/>
      <c r="B191" s="15"/>
      <c r="C191" s="16" t="s">
        <v>36</v>
      </c>
      <c r="D191" s="17" t="s">
        <v>15</v>
      </c>
      <c r="E191" s="14">
        <v>9.8400000000000001E-2</v>
      </c>
      <c r="F191" s="18">
        <f>E191*F189</f>
        <v>0.33455999999999997</v>
      </c>
      <c r="G191" s="14"/>
      <c r="H191" s="18"/>
      <c r="I191" s="14"/>
      <c r="J191" s="14"/>
      <c r="K191" s="14">
        <v>0</v>
      </c>
      <c r="L191" s="18">
        <f>K191*F191</f>
        <v>0</v>
      </c>
      <c r="M191" s="18">
        <f t="shared" ref="M191" si="39">L191+J191+H191</f>
        <v>0</v>
      </c>
    </row>
    <row r="192" spans="1:13" ht="25.5" customHeight="1">
      <c r="A192" s="10">
        <v>36</v>
      </c>
      <c r="B192" s="11" t="s">
        <v>89</v>
      </c>
      <c r="C192" s="12" t="s">
        <v>243</v>
      </c>
      <c r="D192" s="10" t="s">
        <v>23</v>
      </c>
      <c r="E192" s="10"/>
      <c r="F192" s="21">
        <v>3.4</v>
      </c>
      <c r="G192" s="14"/>
      <c r="H192" s="14"/>
      <c r="I192" s="14"/>
      <c r="J192" s="14"/>
      <c r="K192" s="14"/>
      <c r="L192" s="14"/>
      <c r="M192" s="14"/>
    </row>
    <row r="193" spans="1:13" ht="14.25" customHeight="1">
      <c r="A193" s="10"/>
      <c r="B193" s="27"/>
      <c r="C193" s="28" t="s">
        <v>246</v>
      </c>
      <c r="D193" s="29" t="s">
        <v>14</v>
      </c>
      <c r="E193" s="30">
        <f>0.914*1.15</f>
        <v>1.0510999999999999</v>
      </c>
      <c r="F193" s="31">
        <f>E193*F192</f>
        <v>3.5737399999999995</v>
      </c>
      <c r="G193" s="30">
        <v>0</v>
      </c>
      <c r="H193" s="31">
        <f>G193*F193</f>
        <v>0</v>
      </c>
      <c r="I193" s="30"/>
      <c r="J193" s="30"/>
      <c r="K193" s="30"/>
      <c r="L193" s="30"/>
      <c r="M193" s="31">
        <f>L193+J193+H193</f>
        <v>0</v>
      </c>
    </row>
    <row r="194" spans="1:13" ht="14.25" customHeight="1">
      <c r="A194" s="10"/>
      <c r="B194" s="27"/>
      <c r="C194" s="28" t="s">
        <v>247</v>
      </c>
      <c r="D194" s="29" t="s">
        <v>15</v>
      </c>
      <c r="E194" s="42">
        <f>0.353*1.25</f>
        <v>0.44124999999999998</v>
      </c>
      <c r="F194" s="31">
        <f>E194*F192</f>
        <v>1.5002499999999999</v>
      </c>
      <c r="G194" s="30"/>
      <c r="H194" s="31"/>
      <c r="I194" s="30"/>
      <c r="J194" s="30"/>
      <c r="K194" s="30">
        <v>0</v>
      </c>
      <c r="L194" s="31">
        <f>K194*F194</f>
        <v>0</v>
      </c>
      <c r="M194" s="31">
        <f t="shared" ref="M194:M195" si="40">L194+J194+H194</f>
        <v>0</v>
      </c>
    </row>
    <row r="195" spans="1:13" ht="14.25" customHeight="1">
      <c r="A195" s="26"/>
      <c r="B195" s="27" t="s">
        <v>245</v>
      </c>
      <c r="C195" s="26" t="s">
        <v>244</v>
      </c>
      <c r="D195" s="30" t="s">
        <v>23</v>
      </c>
      <c r="E195" s="30">
        <v>1</v>
      </c>
      <c r="F195" s="31">
        <f>E195*F192</f>
        <v>3.4</v>
      </c>
      <c r="G195" s="30"/>
      <c r="H195" s="30"/>
      <c r="I195" s="30">
        <v>0</v>
      </c>
      <c r="J195" s="31">
        <f>I195*F195</f>
        <v>0</v>
      </c>
      <c r="K195" s="30"/>
      <c r="L195" s="30"/>
      <c r="M195" s="31">
        <f t="shared" si="40"/>
        <v>0</v>
      </c>
    </row>
    <row r="196" spans="1:13" ht="14.25" customHeight="1">
      <c r="A196" s="26"/>
      <c r="B196" s="27"/>
      <c r="C196" s="26" t="s">
        <v>16</v>
      </c>
      <c r="D196" s="30" t="s">
        <v>15</v>
      </c>
      <c r="E196" s="30">
        <v>0.27600000000000002</v>
      </c>
      <c r="F196" s="31">
        <f>E196*F192</f>
        <v>0.93840000000000001</v>
      </c>
      <c r="G196" s="30"/>
      <c r="H196" s="30"/>
      <c r="I196" s="30">
        <v>0</v>
      </c>
      <c r="J196" s="31">
        <f t="shared" ref="J196" si="41">I196*F196</f>
        <v>0</v>
      </c>
      <c r="K196" s="30"/>
      <c r="L196" s="30"/>
      <c r="M196" s="31">
        <f t="shared" ref="M196" si="42">J196</f>
        <v>0</v>
      </c>
    </row>
    <row r="197" spans="1:13" ht="25.5" customHeight="1">
      <c r="A197" s="10">
        <v>37</v>
      </c>
      <c r="B197" s="34" t="s">
        <v>159</v>
      </c>
      <c r="C197" s="12" t="s">
        <v>90</v>
      </c>
      <c r="D197" s="10" t="s">
        <v>23</v>
      </c>
      <c r="E197" s="10"/>
      <c r="F197" s="13">
        <v>24.9</v>
      </c>
      <c r="G197" s="30"/>
      <c r="H197" s="30"/>
      <c r="I197" s="30"/>
      <c r="J197" s="30"/>
      <c r="K197" s="30"/>
      <c r="L197" s="30"/>
      <c r="M197" s="18"/>
    </row>
    <row r="198" spans="1:13" ht="14.25" customHeight="1">
      <c r="A198" s="26"/>
      <c r="B198" s="27"/>
      <c r="C198" s="28" t="s">
        <v>160</v>
      </c>
      <c r="D198" s="29" t="s">
        <v>14</v>
      </c>
      <c r="E198" s="30">
        <f>1.79*1.15</f>
        <v>2.0585</v>
      </c>
      <c r="F198" s="31">
        <f>E198*F197</f>
        <v>51.25665</v>
      </c>
      <c r="G198" s="30">
        <v>0</v>
      </c>
      <c r="H198" s="31">
        <f>G198*F198</f>
        <v>0</v>
      </c>
      <c r="I198" s="30"/>
      <c r="J198" s="30"/>
      <c r="K198" s="30"/>
      <c r="L198" s="30"/>
      <c r="M198" s="31">
        <f t="shared" ref="M198:M200" si="43">L198+J198+H198</f>
        <v>0</v>
      </c>
    </row>
    <row r="199" spans="1:13" ht="14.25" customHeight="1">
      <c r="A199" s="26"/>
      <c r="B199" s="27"/>
      <c r="C199" s="28" t="s">
        <v>161</v>
      </c>
      <c r="D199" s="29" t="s">
        <v>15</v>
      </c>
      <c r="E199" s="30">
        <f>0.076*1.25</f>
        <v>9.5000000000000001E-2</v>
      </c>
      <c r="F199" s="31">
        <f>E199*F197</f>
        <v>2.3654999999999999</v>
      </c>
      <c r="G199" s="30"/>
      <c r="H199" s="30"/>
      <c r="I199" s="30"/>
      <c r="J199" s="30"/>
      <c r="K199" s="30">
        <v>0</v>
      </c>
      <c r="L199" s="31">
        <f>K199*F199</f>
        <v>0</v>
      </c>
      <c r="M199" s="31">
        <f t="shared" si="43"/>
        <v>0</v>
      </c>
    </row>
    <row r="200" spans="1:13" ht="14.25" customHeight="1">
      <c r="A200" s="26"/>
      <c r="B200" s="32" t="s">
        <v>126</v>
      </c>
      <c r="C200" s="26" t="s">
        <v>46</v>
      </c>
      <c r="D200" s="30" t="s">
        <v>19</v>
      </c>
      <c r="E200" s="30">
        <v>4.3999999999999997E-2</v>
      </c>
      <c r="F200" s="31">
        <f>E200*F197</f>
        <v>1.0955999999999999</v>
      </c>
      <c r="G200" s="30"/>
      <c r="H200" s="30"/>
      <c r="I200" s="30">
        <v>0</v>
      </c>
      <c r="J200" s="31">
        <f t="shared" ref="J200" si="44">I200*F200</f>
        <v>0</v>
      </c>
      <c r="K200" s="30"/>
      <c r="L200" s="30"/>
      <c r="M200" s="31">
        <f t="shared" si="43"/>
        <v>0</v>
      </c>
    </row>
    <row r="201" spans="1:13" ht="25.5" customHeight="1">
      <c r="A201" s="10">
        <v>38</v>
      </c>
      <c r="B201" s="11" t="s">
        <v>108</v>
      </c>
      <c r="C201" s="12" t="s">
        <v>107</v>
      </c>
      <c r="D201" s="10" t="s">
        <v>106</v>
      </c>
      <c r="E201" s="10"/>
      <c r="F201" s="21">
        <v>12.31</v>
      </c>
      <c r="G201" s="14"/>
      <c r="H201" s="14"/>
      <c r="I201" s="14"/>
      <c r="J201" s="14"/>
      <c r="K201" s="14"/>
      <c r="L201" s="14"/>
      <c r="M201" s="14"/>
    </row>
    <row r="202" spans="1:13" ht="14.25" customHeight="1">
      <c r="A202" s="10"/>
      <c r="B202" s="15"/>
      <c r="C202" s="16" t="s">
        <v>146</v>
      </c>
      <c r="D202" s="17" t="s">
        <v>14</v>
      </c>
      <c r="E202" s="14">
        <f>0.379*0.6</f>
        <v>0.22739999999999999</v>
      </c>
      <c r="F202" s="18">
        <f>E202*F201</f>
        <v>2.7992940000000002</v>
      </c>
      <c r="G202" s="14">
        <v>0</v>
      </c>
      <c r="H202" s="18">
        <f>G202*F202</f>
        <v>0</v>
      </c>
      <c r="I202" s="14"/>
      <c r="J202" s="14"/>
      <c r="K202" s="14"/>
      <c r="L202" s="14"/>
      <c r="M202" s="18">
        <f>L202+J202+H202</f>
        <v>0</v>
      </c>
    </row>
    <row r="203" spans="1:13" ht="14.25" customHeight="1">
      <c r="A203" s="10"/>
      <c r="B203" s="15"/>
      <c r="C203" s="16" t="s">
        <v>36</v>
      </c>
      <c r="D203" s="17" t="s">
        <v>15</v>
      </c>
      <c r="E203" s="14">
        <v>2.8000000000000001E-2</v>
      </c>
      <c r="F203" s="18">
        <f>E203*F201</f>
        <v>0.34468000000000004</v>
      </c>
      <c r="G203" s="14"/>
      <c r="H203" s="18"/>
      <c r="I203" s="14"/>
      <c r="J203" s="14"/>
      <c r="K203" s="14">
        <v>0</v>
      </c>
      <c r="L203" s="18">
        <f>K203*F203</f>
        <v>0</v>
      </c>
      <c r="M203" s="18">
        <f t="shared" ref="M203" si="45">L203+J203+H203</f>
        <v>0</v>
      </c>
    </row>
    <row r="204" spans="1:13" ht="25.5" customHeight="1">
      <c r="A204" s="10">
        <v>39</v>
      </c>
      <c r="B204" s="11" t="s">
        <v>178</v>
      </c>
      <c r="C204" s="12" t="s">
        <v>137</v>
      </c>
      <c r="D204" s="10" t="s">
        <v>106</v>
      </c>
      <c r="E204" s="10"/>
      <c r="F204" s="21">
        <v>12.31</v>
      </c>
      <c r="G204" s="14"/>
      <c r="H204" s="14"/>
      <c r="I204" s="14"/>
      <c r="J204" s="14"/>
      <c r="K204" s="14"/>
      <c r="L204" s="14"/>
      <c r="M204" s="14"/>
    </row>
    <row r="205" spans="1:13" ht="14.25" customHeight="1">
      <c r="A205" s="10"/>
      <c r="B205" s="27"/>
      <c r="C205" s="28" t="s">
        <v>166</v>
      </c>
      <c r="D205" s="29" t="s">
        <v>14</v>
      </c>
      <c r="E205" s="30">
        <f>0.379*1.15</f>
        <v>0.43584999999999996</v>
      </c>
      <c r="F205" s="31">
        <f>E205*F204</f>
        <v>5.3653135000000001</v>
      </c>
      <c r="G205" s="30">
        <v>0</v>
      </c>
      <c r="H205" s="31">
        <f>G205*F205</f>
        <v>0</v>
      </c>
      <c r="I205" s="30"/>
      <c r="J205" s="30"/>
      <c r="K205" s="30"/>
      <c r="L205" s="30"/>
      <c r="M205" s="31">
        <f>L205+J205+H205</f>
        <v>0</v>
      </c>
    </row>
    <row r="206" spans="1:13" ht="14.25" customHeight="1">
      <c r="A206" s="10"/>
      <c r="B206" s="27"/>
      <c r="C206" s="28" t="s">
        <v>167</v>
      </c>
      <c r="D206" s="29" t="s">
        <v>15</v>
      </c>
      <c r="E206" s="30">
        <f>0.028*1.25</f>
        <v>3.5000000000000003E-2</v>
      </c>
      <c r="F206" s="31">
        <f>E206*F204</f>
        <v>0.43085000000000007</v>
      </c>
      <c r="G206" s="30"/>
      <c r="H206" s="31"/>
      <c r="I206" s="30"/>
      <c r="J206" s="30"/>
      <c r="K206" s="30">
        <v>0</v>
      </c>
      <c r="L206" s="31">
        <f>K206*F206</f>
        <v>0</v>
      </c>
      <c r="M206" s="31">
        <f t="shared" ref="M206:M208" si="46">L206+J206+H206</f>
        <v>0</v>
      </c>
    </row>
    <row r="207" spans="1:13" ht="14.25" customHeight="1">
      <c r="A207" s="26"/>
      <c r="B207" s="32" t="s">
        <v>139</v>
      </c>
      <c r="C207" s="26" t="s">
        <v>138</v>
      </c>
      <c r="D207" s="30" t="s">
        <v>106</v>
      </c>
      <c r="E207" s="30">
        <v>1</v>
      </c>
      <c r="F207" s="31">
        <f>E207*F204</f>
        <v>12.31</v>
      </c>
      <c r="G207" s="30"/>
      <c r="H207" s="30"/>
      <c r="I207" s="30">
        <v>0</v>
      </c>
      <c r="J207" s="31">
        <f>I207*F207</f>
        <v>0</v>
      </c>
      <c r="K207" s="30"/>
      <c r="L207" s="30"/>
      <c r="M207" s="31">
        <f t="shared" si="46"/>
        <v>0</v>
      </c>
    </row>
    <row r="208" spans="1:13" ht="14.25" customHeight="1">
      <c r="A208" s="26"/>
      <c r="B208" s="32" t="s">
        <v>103</v>
      </c>
      <c r="C208" s="26" t="s">
        <v>102</v>
      </c>
      <c r="D208" s="30" t="s">
        <v>18</v>
      </c>
      <c r="E208" s="30">
        <v>1.4999999999999999E-2</v>
      </c>
      <c r="F208" s="31">
        <f>E208*F204</f>
        <v>0.18465000000000001</v>
      </c>
      <c r="G208" s="30"/>
      <c r="H208" s="30"/>
      <c r="I208" s="30">
        <v>0</v>
      </c>
      <c r="J208" s="31">
        <f>I208*F208</f>
        <v>0</v>
      </c>
      <c r="K208" s="30"/>
      <c r="L208" s="30"/>
      <c r="M208" s="31">
        <f t="shared" si="46"/>
        <v>0</v>
      </c>
    </row>
    <row r="209" spans="1:13" ht="25.5" customHeight="1">
      <c r="A209" s="10">
        <v>40</v>
      </c>
      <c r="B209" s="11" t="s">
        <v>251</v>
      </c>
      <c r="C209" s="12" t="s">
        <v>248</v>
      </c>
      <c r="D209" s="10" t="s">
        <v>23</v>
      </c>
      <c r="E209" s="10"/>
      <c r="F209" s="46">
        <v>6.4176000000000002</v>
      </c>
      <c r="G209" s="14"/>
      <c r="H209" s="14"/>
      <c r="I209" s="14"/>
      <c r="J209" s="14"/>
      <c r="K209" s="14"/>
      <c r="L209" s="14"/>
      <c r="M209" s="14"/>
    </row>
    <row r="210" spans="1:13" ht="14.25" customHeight="1">
      <c r="A210" s="10"/>
      <c r="B210" s="15"/>
      <c r="C210" s="16" t="s">
        <v>17</v>
      </c>
      <c r="D210" s="17" t="s">
        <v>14</v>
      </c>
      <c r="E210" s="14">
        <v>2.77</v>
      </c>
      <c r="F210" s="18">
        <f>E210*F209</f>
        <v>17.776752000000002</v>
      </c>
      <c r="G210" s="14">
        <v>0</v>
      </c>
      <c r="H210" s="18">
        <f>G210*F210</f>
        <v>0</v>
      </c>
      <c r="I210" s="14"/>
      <c r="J210" s="14"/>
      <c r="K210" s="14"/>
      <c r="L210" s="14"/>
      <c r="M210" s="18">
        <f>L210+J210+H210</f>
        <v>0</v>
      </c>
    </row>
    <row r="211" spans="1:13" ht="14.25" customHeight="1">
      <c r="A211" s="10"/>
      <c r="B211" s="15"/>
      <c r="C211" s="16" t="s">
        <v>36</v>
      </c>
      <c r="D211" s="17" t="s">
        <v>15</v>
      </c>
      <c r="E211" s="14">
        <v>1.2070000000000001</v>
      </c>
      <c r="F211" s="18">
        <f>E211*F209</f>
        <v>7.7460432000000008</v>
      </c>
      <c r="G211" s="14"/>
      <c r="H211" s="18"/>
      <c r="I211" s="14"/>
      <c r="J211" s="14"/>
      <c r="K211" s="14">
        <v>0</v>
      </c>
      <c r="L211" s="18">
        <f>K211*F211</f>
        <v>0</v>
      </c>
      <c r="M211" s="18">
        <f t="shared" ref="M211:M212" si="47">L211+J211+H211</f>
        <v>0</v>
      </c>
    </row>
    <row r="212" spans="1:13" ht="14.25" customHeight="1">
      <c r="A212" s="10"/>
      <c r="B212" s="15"/>
      <c r="C212" s="16" t="s">
        <v>16</v>
      </c>
      <c r="D212" s="17" t="s">
        <v>15</v>
      </c>
      <c r="E212" s="14">
        <v>8.6999999999999994E-2</v>
      </c>
      <c r="F212" s="18">
        <f>E212*F209</f>
        <v>0.55833120000000003</v>
      </c>
      <c r="G212" s="14"/>
      <c r="H212" s="18"/>
      <c r="I212" s="14">
        <v>0</v>
      </c>
      <c r="J212" s="18">
        <f>I212*F212</f>
        <v>0</v>
      </c>
      <c r="K212" s="14"/>
      <c r="L212" s="18"/>
      <c r="M212" s="18">
        <f t="shared" si="47"/>
        <v>0</v>
      </c>
    </row>
    <row r="213" spans="1:13" ht="25.5" customHeight="1">
      <c r="A213" s="10">
        <v>41</v>
      </c>
      <c r="B213" s="11" t="s">
        <v>250</v>
      </c>
      <c r="C213" s="12" t="s">
        <v>249</v>
      </c>
      <c r="D213" s="10" t="s">
        <v>23</v>
      </c>
      <c r="E213" s="10"/>
      <c r="F213" s="21">
        <v>13.98</v>
      </c>
      <c r="G213" s="14"/>
      <c r="H213" s="14"/>
      <c r="I213" s="14"/>
      <c r="J213" s="14"/>
      <c r="K213" s="14"/>
      <c r="L213" s="14"/>
      <c r="M213" s="14"/>
    </row>
    <row r="214" spans="1:13" ht="14.25" customHeight="1">
      <c r="A214" s="10"/>
      <c r="B214" s="15"/>
      <c r="C214" s="16" t="s">
        <v>17</v>
      </c>
      <c r="D214" s="17" t="s">
        <v>14</v>
      </c>
      <c r="E214" s="14">
        <v>3.61</v>
      </c>
      <c r="F214" s="18">
        <f>E214*F213</f>
        <v>50.467799999999997</v>
      </c>
      <c r="G214" s="14">
        <v>0</v>
      </c>
      <c r="H214" s="18">
        <f>G214*F214</f>
        <v>0</v>
      </c>
      <c r="I214" s="14"/>
      <c r="J214" s="14"/>
      <c r="K214" s="14"/>
      <c r="L214" s="14"/>
      <c r="M214" s="18">
        <f>L214+J214+H214</f>
        <v>0</v>
      </c>
    </row>
    <row r="215" spans="1:13" ht="14.25" customHeight="1">
      <c r="A215" s="10"/>
      <c r="B215" s="15"/>
      <c r="C215" s="16" t="s">
        <v>36</v>
      </c>
      <c r="D215" s="17" t="s">
        <v>15</v>
      </c>
      <c r="E215" s="14">
        <v>0.40100000000000002</v>
      </c>
      <c r="F215" s="18">
        <f>E215*F213</f>
        <v>5.6059800000000006</v>
      </c>
      <c r="G215" s="14"/>
      <c r="H215" s="18"/>
      <c r="I215" s="14"/>
      <c r="J215" s="14"/>
      <c r="K215" s="14">
        <v>0</v>
      </c>
      <c r="L215" s="18">
        <f>K215*F215</f>
        <v>0</v>
      </c>
      <c r="M215" s="18">
        <f t="shared" ref="M215:M216" si="48">L215+J215+H215</f>
        <v>0</v>
      </c>
    </row>
    <row r="216" spans="1:13" ht="14.25" customHeight="1">
      <c r="A216" s="10"/>
      <c r="B216" s="15"/>
      <c r="C216" s="16" t="s">
        <v>16</v>
      </c>
      <c r="D216" s="17" t="s">
        <v>15</v>
      </c>
      <c r="E216" s="14">
        <v>5.8999999999999997E-2</v>
      </c>
      <c r="F216" s="18">
        <f>E216*F213</f>
        <v>0.82482</v>
      </c>
      <c r="G216" s="14"/>
      <c r="H216" s="18"/>
      <c r="I216" s="14">
        <v>0</v>
      </c>
      <c r="J216" s="18">
        <f>I216*F216</f>
        <v>0</v>
      </c>
      <c r="K216" s="14"/>
      <c r="L216" s="18"/>
      <c r="M216" s="18">
        <f t="shared" si="48"/>
        <v>0</v>
      </c>
    </row>
    <row r="217" spans="1:13" ht="25.5" customHeight="1">
      <c r="A217" s="10">
        <v>42</v>
      </c>
      <c r="B217" s="11" t="s">
        <v>253</v>
      </c>
      <c r="C217" s="12" t="s">
        <v>252</v>
      </c>
      <c r="D217" s="10" t="s">
        <v>91</v>
      </c>
      <c r="E217" s="10"/>
      <c r="F217" s="13">
        <f>6+4</f>
        <v>10</v>
      </c>
      <c r="G217" s="30"/>
      <c r="H217" s="30"/>
      <c r="I217" s="30"/>
      <c r="J217" s="30"/>
      <c r="K217" s="30"/>
      <c r="L217" s="30"/>
      <c r="M217" s="18"/>
    </row>
    <row r="218" spans="1:13" ht="14.25" customHeight="1">
      <c r="A218" s="26"/>
      <c r="B218" s="27"/>
      <c r="C218" s="28" t="s">
        <v>164</v>
      </c>
      <c r="D218" s="29" t="s">
        <v>14</v>
      </c>
      <c r="E218" s="30">
        <v>0.52500000000000002</v>
      </c>
      <c r="F218" s="31">
        <f>E218*F217</f>
        <v>5.25</v>
      </c>
      <c r="G218" s="30">
        <v>0</v>
      </c>
      <c r="H218" s="31">
        <f>G218*F218</f>
        <v>0</v>
      </c>
      <c r="I218" s="30"/>
      <c r="J218" s="30"/>
      <c r="K218" s="30"/>
      <c r="L218" s="30"/>
      <c r="M218" s="31">
        <f t="shared" ref="M218:M221" si="49">L218+J218+H218</f>
        <v>0</v>
      </c>
    </row>
    <row r="219" spans="1:13" ht="14.25" customHeight="1">
      <c r="A219" s="26"/>
      <c r="B219" s="45" t="s">
        <v>256</v>
      </c>
      <c r="C219" s="28" t="s">
        <v>257</v>
      </c>
      <c r="D219" s="29" t="s">
        <v>33</v>
      </c>
      <c r="E219" s="30">
        <f>E218/2</f>
        <v>0.26250000000000001</v>
      </c>
      <c r="F219" s="31">
        <f>E219*F217</f>
        <v>2.625</v>
      </c>
      <c r="G219" s="30"/>
      <c r="H219" s="31"/>
      <c r="I219" s="30"/>
      <c r="J219" s="30"/>
      <c r="K219" s="30">
        <v>0</v>
      </c>
      <c r="L219" s="31">
        <f>K219*F219</f>
        <v>0</v>
      </c>
      <c r="M219" s="31">
        <f t="shared" si="49"/>
        <v>0</v>
      </c>
    </row>
    <row r="220" spans="1:13" ht="14.25" customHeight="1">
      <c r="A220" s="26"/>
      <c r="B220" s="45"/>
      <c r="C220" s="28" t="s">
        <v>165</v>
      </c>
      <c r="D220" s="29" t="s">
        <v>15</v>
      </c>
      <c r="E220" s="30">
        <v>6.7000000000000002E-3</v>
      </c>
      <c r="F220" s="31">
        <f>E220*F217</f>
        <v>6.7000000000000004E-2</v>
      </c>
      <c r="G220" s="30"/>
      <c r="H220" s="30"/>
      <c r="I220" s="30"/>
      <c r="J220" s="30"/>
      <c r="K220" s="30">
        <v>0</v>
      </c>
      <c r="L220" s="31">
        <f>K220*F220</f>
        <v>0</v>
      </c>
      <c r="M220" s="31">
        <f t="shared" si="49"/>
        <v>0</v>
      </c>
    </row>
    <row r="221" spans="1:13" ht="14.25" customHeight="1">
      <c r="A221" s="26"/>
      <c r="B221" s="32" t="s">
        <v>255</v>
      </c>
      <c r="C221" s="26" t="s">
        <v>254</v>
      </c>
      <c r="D221" s="30" t="s">
        <v>24</v>
      </c>
      <c r="E221" s="30">
        <v>0.7</v>
      </c>
      <c r="F221" s="31">
        <f>E221*F217</f>
        <v>7</v>
      </c>
      <c r="G221" s="30"/>
      <c r="H221" s="30"/>
      <c r="I221" s="30">
        <v>0</v>
      </c>
      <c r="J221" s="31">
        <f t="shared" ref="J221" si="50">I221*F221</f>
        <v>0</v>
      </c>
      <c r="K221" s="30"/>
      <c r="L221" s="30"/>
      <c r="M221" s="31">
        <f t="shared" si="49"/>
        <v>0</v>
      </c>
    </row>
    <row r="222" spans="1:13" ht="14.25" customHeight="1">
      <c r="A222" s="10"/>
      <c r="B222" s="15"/>
      <c r="C222" s="16"/>
      <c r="D222" s="17"/>
      <c r="E222" s="14"/>
      <c r="F222" s="18"/>
      <c r="G222" s="14"/>
      <c r="H222" s="18"/>
      <c r="I222" s="14"/>
      <c r="J222" s="14"/>
      <c r="K222" s="14"/>
      <c r="L222" s="18"/>
      <c r="M222" s="18"/>
    </row>
    <row r="223" spans="1:13" ht="25.5" customHeight="1">
      <c r="A223" s="10">
        <v>43</v>
      </c>
      <c r="B223" s="34" t="s">
        <v>179</v>
      </c>
      <c r="C223" s="12" t="s">
        <v>60</v>
      </c>
      <c r="D223" s="10" t="s">
        <v>23</v>
      </c>
      <c r="E223" s="10"/>
      <c r="F223" s="13">
        <v>205</v>
      </c>
      <c r="G223" s="30"/>
      <c r="H223" s="30"/>
      <c r="I223" s="30"/>
      <c r="J223" s="30"/>
      <c r="K223" s="30"/>
      <c r="L223" s="30"/>
      <c r="M223" s="18"/>
    </row>
    <row r="224" spans="1:13" ht="14.25" customHeight="1">
      <c r="A224" s="26"/>
      <c r="B224" s="27"/>
      <c r="C224" s="28" t="s">
        <v>168</v>
      </c>
      <c r="D224" s="29" t="s">
        <v>14</v>
      </c>
      <c r="E224" s="30">
        <f>0.459*1.15</f>
        <v>0.52784999999999993</v>
      </c>
      <c r="F224" s="31">
        <f>E224*F223</f>
        <v>108.20924999999998</v>
      </c>
      <c r="G224" s="30">
        <v>0</v>
      </c>
      <c r="H224" s="31">
        <f>G224*F224</f>
        <v>0</v>
      </c>
      <c r="I224" s="30"/>
      <c r="J224" s="30"/>
      <c r="K224" s="30"/>
      <c r="L224" s="30"/>
      <c r="M224" s="18">
        <f t="shared" ref="M224:M228" si="51">L224+J224+H224</f>
        <v>0</v>
      </c>
    </row>
    <row r="225" spans="1:15" ht="14.25" customHeight="1">
      <c r="A225" s="24"/>
      <c r="B225" s="15"/>
      <c r="C225" s="16" t="s">
        <v>169</v>
      </c>
      <c r="D225" s="29" t="s">
        <v>15</v>
      </c>
      <c r="E225" s="30">
        <f>0.0023*1.25</f>
        <v>2.875E-3</v>
      </c>
      <c r="F225" s="31">
        <f>E225*F223</f>
        <v>0.58937499999999998</v>
      </c>
      <c r="G225" s="30"/>
      <c r="H225" s="30"/>
      <c r="I225" s="30"/>
      <c r="J225" s="30"/>
      <c r="K225" s="30">
        <v>0</v>
      </c>
      <c r="L225" s="31">
        <f>K225*F225</f>
        <v>0</v>
      </c>
      <c r="M225" s="18">
        <f t="shared" si="51"/>
        <v>0</v>
      </c>
    </row>
    <row r="226" spans="1:15" ht="14.25" customHeight="1">
      <c r="A226" s="24"/>
      <c r="B226" s="25" t="s">
        <v>63</v>
      </c>
      <c r="C226" s="24" t="s">
        <v>61</v>
      </c>
      <c r="D226" s="30" t="s">
        <v>18</v>
      </c>
      <c r="E226" s="33">
        <v>3.5E-4</v>
      </c>
      <c r="F226" s="31">
        <f>E226*F223</f>
        <v>7.1749999999999994E-2</v>
      </c>
      <c r="G226" s="30"/>
      <c r="H226" s="30"/>
      <c r="I226" s="30">
        <v>0</v>
      </c>
      <c r="J226" s="31">
        <f t="shared" ref="J226:J228" si="52">I226*F226</f>
        <v>0</v>
      </c>
      <c r="K226" s="30"/>
      <c r="L226" s="30"/>
      <c r="M226" s="18">
        <f t="shared" si="51"/>
        <v>0</v>
      </c>
    </row>
    <row r="227" spans="1:15" ht="14.25" customHeight="1">
      <c r="A227" s="24"/>
      <c r="B227" s="25" t="s">
        <v>64</v>
      </c>
      <c r="C227" s="24" t="s">
        <v>62</v>
      </c>
      <c r="D227" s="30" t="s">
        <v>19</v>
      </c>
      <c r="E227" s="47">
        <v>9.0000000000000006E-5</v>
      </c>
      <c r="F227" s="31">
        <f>E227*F223</f>
        <v>1.8450000000000001E-2</v>
      </c>
      <c r="G227" s="30"/>
      <c r="H227" s="30"/>
      <c r="I227" s="30">
        <v>0</v>
      </c>
      <c r="J227" s="31">
        <f t="shared" si="52"/>
        <v>0</v>
      </c>
      <c r="K227" s="30"/>
      <c r="L227" s="30"/>
      <c r="M227" s="18">
        <f t="shared" si="51"/>
        <v>0</v>
      </c>
    </row>
    <row r="228" spans="1:15" ht="14.25" customHeight="1">
      <c r="A228" s="24"/>
      <c r="B228" s="15"/>
      <c r="C228" s="26" t="s">
        <v>16</v>
      </c>
      <c r="D228" s="30" t="s">
        <v>15</v>
      </c>
      <c r="E228" s="30">
        <v>3.4000000000000002E-2</v>
      </c>
      <c r="F228" s="31">
        <f>E228*F223</f>
        <v>6.9700000000000006</v>
      </c>
      <c r="G228" s="30"/>
      <c r="H228" s="30"/>
      <c r="I228" s="30">
        <v>0</v>
      </c>
      <c r="J228" s="31">
        <f t="shared" si="52"/>
        <v>0</v>
      </c>
      <c r="K228" s="30"/>
      <c r="L228" s="30"/>
      <c r="M228" s="18">
        <f t="shared" si="51"/>
        <v>0</v>
      </c>
    </row>
    <row r="229" spans="1:15" ht="25.5" customHeight="1">
      <c r="A229" s="10">
        <v>44</v>
      </c>
      <c r="B229" s="34" t="s">
        <v>180</v>
      </c>
      <c r="C229" s="20" t="s">
        <v>38</v>
      </c>
      <c r="D229" s="10" t="s">
        <v>18</v>
      </c>
      <c r="E229" s="10"/>
      <c r="F229" s="46">
        <f>F52+F53+F66+F78+F79+F100+F106+F125+F126</f>
        <v>9.8142999999999976</v>
      </c>
      <c r="G229" s="14"/>
      <c r="H229" s="14"/>
      <c r="I229" s="14"/>
      <c r="J229" s="14"/>
      <c r="K229" s="14"/>
      <c r="L229" s="14"/>
      <c r="M229" s="14"/>
      <c r="N229" s="48"/>
      <c r="O229" s="49"/>
    </row>
    <row r="230" spans="1:15" ht="14.25" customHeight="1">
      <c r="A230" s="26"/>
      <c r="B230" s="27"/>
      <c r="C230" s="28" t="s">
        <v>170</v>
      </c>
      <c r="D230" s="29" t="s">
        <v>14</v>
      </c>
      <c r="E230" s="30">
        <f>23.8*1.15</f>
        <v>27.369999999999997</v>
      </c>
      <c r="F230" s="31">
        <f>E230*F229</f>
        <v>268.61739099999988</v>
      </c>
      <c r="G230" s="44">
        <v>0</v>
      </c>
      <c r="H230" s="31">
        <f>G230*F230</f>
        <v>0</v>
      </c>
      <c r="I230" s="30"/>
      <c r="J230" s="30"/>
      <c r="K230" s="30"/>
      <c r="L230" s="30"/>
      <c r="M230" s="31">
        <f>H230</f>
        <v>0</v>
      </c>
    </row>
    <row r="231" spans="1:15" ht="14.25" customHeight="1">
      <c r="A231" s="26"/>
      <c r="B231" s="45" t="s">
        <v>55</v>
      </c>
      <c r="C231" s="28" t="s">
        <v>171</v>
      </c>
      <c r="D231" s="29" t="s">
        <v>15</v>
      </c>
      <c r="E231" s="30">
        <f>0.394*1.25</f>
        <v>0.49250000000000005</v>
      </c>
      <c r="F231" s="31">
        <f>E231*F229</f>
        <v>4.8335427499999994</v>
      </c>
      <c r="G231" s="30"/>
      <c r="H231" s="30"/>
      <c r="I231" s="30"/>
      <c r="J231" s="30"/>
      <c r="K231" s="30">
        <v>0</v>
      </c>
      <c r="L231" s="31">
        <f>K231*F231</f>
        <v>0</v>
      </c>
      <c r="M231" s="31">
        <f>L231</f>
        <v>0</v>
      </c>
    </row>
    <row r="232" spans="1:15" ht="14.25" customHeight="1">
      <c r="A232" s="26"/>
      <c r="B232" s="32"/>
      <c r="C232" s="26" t="s">
        <v>25</v>
      </c>
      <c r="D232" s="30" t="s">
        <v>18</v>
      </c>
      <c r="E232" s="30">
        <v>0.03</v>
      </c>
      <c r="F232" s="42">
        <f>E232*F229</f>
        <v>0.29442899999999994</v>
      </c>
      <c r="G232" s="30"/>
      <c r="H232" s="30"/>
      <c r="I232" s="30">
        <f>O232/F229</f>
        <v>0</v>
      </c>
      <c r="J232" s="31">
        <f>I232*F232</f>
        <v>0</v>
      </c>
      <c r="K232" s="30"/>
      <c r="L232" s="30"/>
      <c r="M232" s="31">
        <f>J232</f>
        <v>0</v>
      </c>
      <c r="O232" s="49">
        <f>M52+M53+M69+M70+M78+M79+M103+M104+M110+M111+M112+M113+M114+M115+M116+M117+M118+M119+M125+M126</f>
        <v>0</v>
      </c>
    </row>
    <row r="233" spans="1:15" ht="14.25" customHeight="1">
      <c r="A233" s="26"/>
      <c r="B233" s="32" t="s">
        <v>140</v>
      </c>
      <c r="C233" s="26" t="s">
        <v>35</v>
      </c>
      <c r="D233" s="30" t="s">
        <v>18</v>
      </c>
      <c r="E233" s="30">
        <v>5.0000000000000001E-3</v>
      </c>
      <c r="F233" s="42">
        <f>E233*F229</f>
        <v>4.907149999999999E-2</v>
      </c>
      <c r="G233" s="30"/>
      <c r="H233" s="30"/>
      <c r="I233" s="30">
        <v>0</v>
      </c>
      <c r="J233" s="31">
        <f>I233*F233</f>
        <v>0</v>
      </c>
      <c r="K233" s="30"/>
      <c r="L233" s="30"/>
      <c r="M233" s="31">
        <f>J233</f>
        <v>0</v>
      </c>
    </row>
    <row r="234" spans="1:15" ht="15.75" customHeight="1">
      <c r="A234" s="8">
        <v>45</v>
      </c>
      <c r="B234" s="50"/>
      <c r="C234" s="51" t="s">
        <v>142</v>
      </c>
      <c r="D234" s="8" t="s">
        <v>19</v>
      </c>
      <c r="E234" s="8"/>
      <c r="F234" s="52">
        <f>F37+F49+F93+F122+F146</f>
        <v>32.095760000000006</v>
      </c>
      <c r="G234" s="8"/>
      <c r="H234" s="53"/>
      <c r="I234" s="53"/>
      <c r="J234" s="54"/>
      <c r="K234" s="53"/>
      <c r="L234" s="53"/>
      <c r="M234" s="54"/>
    </row>
    <row r="235" spans="1:15" ht="14.25" customHeight="1">
      <c r="A235" s="55"/>
      <c r="B235" s="50"/>
      <c r="C235" s="28" t="s">
        <v>17</v>
      </c>
      <c r="D235" s="29" t="s">
        <v>19</v>
      </c>
      <c r="E235" s="30">
        <v>1</v>
      </c>
      <c r="F235" s="31">
        <f>E235*F234</f>
        <v>32.095760000000006</v>
      </c>
      <c r="G235" s="44">
        <v>0</v>
      </c>
      <c r="H235" s="31">
        <f>G235*F235</f>
        <v>0</v>
      </c>
      <c r="I235" s="30"/>
      <c r="J235" s="30"/>
      <c r="K235" s="30"/>
      <c r="L235" s="30"/>
      <c r="M235" s="31">
        <f>H235</f>
        <v>0</v>
      </c>
    </row>
    <row r="236" spans="1:15" ht="15.75" customHeight="1">
      <c r="A236" s="56"/>
      <c r="B236" s="57"/>
      <c r="C236" s="16"/>
      <c r="D236" s="17"/>
      <c r="E236" s="14"/>
      <c r="F236" s="18"/>
      <c r="G236" s="37"/>
      <c r="H236" s="18"/>
      <c r="I236" s="14"/>
      <c r="J236" s="14"/>
      <c r="K236" s="14"/>
      <c r="L236" s="14"/>
      <c r="M236" s="18"/>
    </row>
    <row r="237" spans="1:15" ht="15.75" customHeight="1">
      <c r="A237" s="56"/>
      <c r="B237" s="57"/>
      <c r="C237" s="51" t="s">
        <v>28</v>
      </c>
      <c r="D237" s="56"/>
      <c r="E237" s="58"/>
      <c r="F237" s="56"/>
      <c r="G237" s="58"/>
      <c r="H237" s="52">
        <f>SUM(H10:H235)</f>
        <v>0</v>
      </c>
      <c r="I237" s="8"/>
      <c r="J237" s="52">
        <f>SUM(J10:J235)</f>
        <v>0</v>
      </c>
      <c r="K237" s="8"/>
      <c r="L237" s="52">
        <f>SUM(L10:L235)</f>
        <v>0</v>
      </c>
      <c r="M237" s="52">
        <f>SUM(M10:M235)</f>
        <v>0</v>
      </c>
    </row>
    <row r="238" spans="1:15" ht="15.75" customHeight="1">
      <c r="A238" s="56"/>
      <c r="B238" s="57"/>
      <c r="C238" s="55" t="s">
        <v>27</v>
      </c>
      <c r="D238" s="59">
        <v>0</v>
      </c>
      <c r="E238" s="58"/>
      <c r="F238" s="56"/>
      <c r="G238" s="58"/>
      <c r="H238" s="54"/>
      <c r="I238" s="53"/>
      <c r="J238" s="53"/>
      <c r="K238" s="53"/>
      <c r="L238" s="54"/>
      <c r="M238" s="54">
        <f>J237*D238</f>
        <v>0</v>
      </c>
    </row>
    <row r="239" spans="1:15" ht="15.75" customHeight="1">
      <c r="A239" s="56"/>
      <c r="B239" s="57"/>
      <c r="C239" s="51" t="s">
        <v>32</v>
      </c>
      <c r="D239" s="56"/>
      <c r="E239" s="58"/>
      <c r="F239" s="56"/>
      <c r="G239" s="58"/>
      <c r="H239" s="54"/>
      <c r="I239" s="53"/>
      <c r="J239" s="53"/>
      <c r="K239" s="53"/>
      <c r="L239" s="54"/>
      <c r="M239" s="52">
        <f>M237+M238</f>
        <v>0</v>
      </c>
    </row>
    <row r="240" spans="1:15" ht="15.75" customHeight="1">
      <c r="A240" s="56"/>
      <c r="B240" s="57"/>
      <c r="C240" s="55" t="s">
        <v>20</v>
      </c>
      <c r="D240" s="60">
        <v>0</v>
      </c>
      <c r="E240" s="58"/>
      <c r="F240" s="56"/>
      <c r="G240" s="58"/>
      <c r="H240" s="54"/>
      <c r="I240" s="53"/>
      <c r="J240" s="53"/>
      <c r="K240" s="53"/>
      <c r="L240" s="54"/>
      <c r="M240" s="61">
        <f>M239*D240</f>
        <v>0</v>
      </c>
    </row>
    <row r="241" spans="1:13" ht="15.75" customHeight="1">
      <c r="A241" s="56"/>
      <c r="B241" s="57"/>
      <c r="C241" s="51" t="s">
        <v>28</v>
      </c>
      <c r="D241" s="53"/>
      <c r="E241" s="58"/>
      <c r="F241" s="56"/>
      <c r="G241" s="58"/>
      <c r="H241" s="52"/>
      <c r="I241" s="8"/>
      <c r="J241" s="8"/>
      <c r="K241" s="8"/>
      <c r="L241" s="52"/>
      <c r="M241" s="62">
        <f>M240+M239</f>
        <v>0</v>
      </c>
    </row>
    <row r="242" spans="1:13" ht="15.75" customHeight="1">
      <c r="A242" s="56"/>
      <c r="B242" s="57"/>
      <c r="C242" s="55" t="s">
        <v>26</v>
      </c>
      <c r="D242" s="59">
        <v>0</v>
      </c>
      <c r="E242" s="58"/>
      <c r="F242" s="56"/>
      <c r="G242" s="58"/>
      <c r="H242" s="53"/>
      <c r="I242" s="53"/>
      <c r="J242" s="54"/>
      <c r="K242" s="53"/>
      <c r="L242" s="54"/>
      <c r="M242" s="61">
        <f>M241*D242</f>
        <v>0</v>
      </c>
    </row>
    <row r="243" spans="1:13" ht="15.75" customHeight="1">
      <c r="A243" s="56"/>
      <c r="B243" s="57"/>
      <c r="C243" s="51" t="s">
        <v>28</v>
      </c>
      <c r="D243" s="53"/>
      <c r="E243" s="58"/>
      <c r="F243" s="56"/>
      <c r="G243" s="58"/>
      <c r="H243" s="53"/>
      <c r="I243" s="53"/>
      <c r="J243" s="53"/>
      <c r="K243" s="53"/>
      <c r="L243" s="53"/>
      <c r="M243" s="62">
        <f>M242+M241</f>
        <v>0</v>
      </c>
    </row>
    <row r="244" spans="1:13" ht="15.75" customHeight="1">
      <c r="A244" s="56"/>
      <c r="B244" s="57"/>
      <c r="C244" s="55" t="s">
        <v>263</v>
      </c>
      <c r="D244" s="63">
        <v>0</v>
      </c>
      <c r="E244" s="58"/>
      <c r="F244" s="56"/>
      <c r="G244" s="58"/>
      <c r="H244" s="53"/>
      <c r="I244" s="53"/>
      <c r="J244" s="53"/>
      <c r="K244" s="53"/>
      <c r="L244" s="53"/>
      <c r="M244" s="61">
        <f>M243*D244</f>
        <v>0</v>
      </c>
    </row>
    <row r="245" spans="1:13" ht="15.75" customHeight="1">
      <c r="A245" s="56"/>
      <c r="B245" s="57"/>
      <c r="C245" s="51" t="s">
        <v>28</v>
      </c>
      <c r="D245" s="53"/>
      <c r="E245" s="58"/>
      <c r="F245" s="56"/>
      <c r="G245" s="58"/>
      <c r="H245" s="53"/>
      <c r="I245" s="53"/>
      <c r="J245" s="53"/>
      <c r="K245" s="53"/>
      <c r="L245" s="53"/>
      <c r="M245" s="62">
        <f>M244+M243</f>
        <v>0</v>
      </c>
    </row>
    <row r="246" spans="1:13" ht="15.75" customHeight="1">
      <c r="A246" s="56"/>
      <c r="B246" s="57"/>
      <c r="C246" s="55" t="s">
        <v>29</v>
      </c>
      <c r="D246" s="59">
        <v>0.05</v>
      </c>
      <c r="E246" s="58"/>
      <c r="F246" s="56"/>
      <c r="G246" s="58"/>
      <c r="H246" s="53"/>
      <c r="I246" s="53"/>
      <c r="J246" s="53"/>
      <c r="K246" s="53"/>
      <c r="L246" s="53"/>
      <c r="M246" s="61">
        <f>M245*D246</f>
        <v>0</v>
      </c>
    </row>
    <row r="247" spans="1:13" ht="15.75" customHeight="1">
      <c r="A247" s="56"/>
      <c r="B247" s="57"/>
      <c r="C247" s="51" t="s">
        <v>28</v>
      </c>
      <c r="D247" s="59"/>
      <c r="E247" s="58"/>
      <c r="F247" s="56"/>
      <c r="G247" s="58"/>
      <c r="H247" s="53"/>
      <c r="I247" s="53"/>
      <c r="J247" s="53"/>
      <c r="K247" s="53"/>
      <c r="L247" s="53"/>
      <c r="M247" s="62">
        <f>M246+M245</f>
        <v>0</v>
      </c>
    </row>
    <row r="248" spans="1:13" ht="15.75" customHeight="1">
      <c r="A248" s="56"/>
      <c r="B248" s="57"/>
      <c r="C248" s="51" t="s">
        <v>141</v>
      </c>
      <c r="D248" s="59">
        <v>0.02</v>
      </c>
      <c r="E248" s="58"/>
      <c r="F248" s="56"/>
      <c r="G248" s="58"/>
      <c r="H248" s="53"/>
      <c r="I248" s="53"/>
      <c r="J248" s="53"/>
      <c r="K248" s="53"/>
      <c r="L248" s="53"/>
      <c r="M248" s="62">
        <f>H237*D248</f>
        <v>0</v>
      </c>
    </row>
    <row r="249" spans="1:13" ht="15.75" customHeight="1">
      <c r="A249" s="56"/>
      <c r="B249" s="57"/>
      <c r="C249" s="51" t="s">
        <v>28</v>
      </c>
      <c r="D249" s="59"/>
      <c r="E249" s="58"/>
      <c r="F249" s="56"/>
      <c r="G249" s="58"/>
      <c r="H249" s="53"/>
      <c r="I249" s="53"/>
      <c r="J249" s="53"/>
      <c r="K249" s="53"/>
      <c r="L249" s="53"/>
      <c r="M249" s="62">
        <f>M248+M247</f>
        <v>0</v>
      </c>
    </row>
    <row r="250" spans="1:13" ht="15.75" customHeight="1">
      <c r="A250" s="56"/>
      <c r="B250" s="57"/>
      <c r="C250" s="55" t="s">
        <v>30</v>
      </c>
      <c r="D250" s="59">
        <v>0.18</v>
      </c>
      <c r="E250" s="58"/>
      <c r="F250" s="56"/>
      <c r="G250" s="58"/>
      <c r="H250" s="53"/>
      <c r="I250" s="53"/>
      <c r="J250" s="53"/>
      <c r="K250" s="53"/>
      <c r="L250" s="53"/>
      <c r="M250" s="61">
        <f>M249*D250</f>
        <v>0</v>
      </c>
    </row>
    <row r="251" spans="1:13" ht="15.75" customHeight="1">
      <c r="A251" s="56"/>
      <c r="B251" s="57"/>
      <c r="C251" s="51" t="s">
        <v>11</v>
      </c>
      <c r="D251" s="56"/>
      <c r="E251" s="58"/>
      <c r="F251" s="56"/>
      <c r="G251" s="58"/>
      <c r="H251" s="53"/>
      <c r="I251" s="53"/>
      <c r="J251" s="53"/>
      <c r="K251" s="53"/>
      <c r="L251" s="53"/>
      <c r="M251" s="62">
        <f>M250+M249</f>
        <v>0</v>
      </c>
    </row>
    <row r="252" spans="1:13">
      <c r="A252" s="2"/>
      <c r="B252" s="3"/>
      <c r="C252" s="2"/>
      <c r="D252" s="2"/>
      <c r="E252" s="4"/>
      <c r="F252" s="2"/>
      <c r="G252" s="4"/>
      <c r="H252" s="4"/>
      <c r="I252" s="4"/>
      <c r="J252" s="4"/>
      <c r="K252" s="4"/>
      <c r="L252" s="4"/>
      <c r="M252" s="4"/>
    </row>
    <row r="253" spans="1:13">
      <c r="A253" s="2"/>
      <c r="B253" s="3"/>
      <c r="C253" s="2"/>
      <c r="D253" s="2"/>
      <c r="E253" s="4"/>
      <c r="F253" s="2"/>
      <c r="G253" s="4"/>
      <c r="H253" s="4"/>
      <c r="I253" s="4"/>
      <c r="J253" s="4"/>
      <c r="K253" s="4"/>
      <c r="L253" s="4"/>
      <c r="M253" s="4"/>
    </row>
    <row r="254" spans="1:13" ht="15.75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</row>
    <row r="255" spans="1:13" ht="15.75">
      <c r="A255" s="64"/>
      <c r="B255" s="65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 ht="15.75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</row>
  </sheetData>
  <mergeCells count="16">
    <mergeCell ref="A256:M256"/>
    <mergeCell ref="A1:M1"/>
    <mergeCell ref="A2:M2"/>
    <mergeCell ref="A3:M3"/>
    <mergeCell ref="I4:J4"/>
    <mergeCell ref="A5:E5"/>
    <mergeCell ref="A6:A7"/>
    <mergeCell ref="B6:B7"/>
    <mergeCell ref="C6:C7"/>
    <mergeCell ref="D6:D7"/>
    <mergeCell ref="E6:F6"/>
    <mergeCell ref="G6:H6"/>
    <mergeCell ref="I6:J6"/>
    <mergeCell ref="K6:L6"/>
    <mergeCell ref="M6:M7"/>
    <mergeCell ref="A254:M254"/>
  </mergeCells>
  <pageMargins left="0.17" right="0.1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ქუთაისის სასამართლო</vt:lpstr>
      <vt:lpstr>'ქუთაისის სასამართლო'!Print_Area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2019-05-27T11:24:29Z</dcterms:modified>
</cp:coreProperties>
</file>