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8" activeTab="0"/>
  </bookViews>
  <sheets>
    <sheet name="NAKREBI" sheetId="1" r:id="rId1"/>
    <sheet name="1-1" sheetId="2" r:id="rId2"/>
    <sheet name="1-2" sheetId="3" r:id="rId3"/>
    <sheet name="1-3" sheetId="4" r:id="rId4"/>
    <sheet name="1-4" sheetId="5" r:id="rId5"/>
  </sheets>
  <definedNames>
    <definedName name="_xlnm._FilterDatabase" localSheetId="1" hidden="1">'1-1'!$G$1:$G$254</definedName>
    <definedName name="_xlnm.Print_Area" localSheetId="1">'1-1'!$A$1:$H$260</definedName>
    <definedName name="_xlnm.Print_Area" localSheetId="2">'1-2'!$A$1:$H$114</definedName>
    <definedName name="_xlnm.Print_Area" localSheetId="3">'1-3'!$A$1:$H$75</definedName>
    <definedName name="_xlnm.Print_Area" localSheetId="4">'1-4'!$A$1:$H$42</definedName>
    <definedName name="_xlnm.Print_Area" localSheetId="0">'NAKREBI'!$A$1:$H$25</definedName>
  </definedNames>
  <calcPr fullCalcOnLoad="1"/>
</workbook>
</file>

<file path=xl/sharedStrings.xml><?xml version="1.0" encoding="utf-8"?>
<sst xmlns="http://schemas.openxmlformats.org/spreadsheetml/2006/main" count="1097" uniqueCount="395">
  <si>
    <t>samSeneblo samuSaoebi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</si>
  <si>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</si>
  <si>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</si>
  <si>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</si>
  <si>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</si>
  <si>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</si>
  <si>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</si>
  <si>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</si>
  <si>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</si>
  <si>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100 kvm</t>
  </si>
  <si>
    <t>kac/sT</t>
  </si>
  <si>
    <t>3</t>
  </si>
  <si>
    <t>kubm</t>
  </si>
  <si>
    <t>4</t>
  </si>
  <si>
    <t>7</t>
  </si>
  <si>
    <t>tona</t>
  </si>
  <si>
    <t>8</t>
  </si>
  <si>
    <t>kg</t>
  </si>
  <si>
    <t>kvm</t>
  </si>
  <si>
    <t xml:space="preserve"> sxva masala</t>
  </si>
  <si>
    <t>10</t>
  </si>
  <si>
    <t>cali</t>
  </si>
  <si>
    <t>g/m</t>
  </si>
  <si>
    <t>lari</t>
  </si>
  <si>
    <t>m/sT</t>
  </si>
  <si>
    <t>j a m i</t>
  </si>
  <si>
    <t>sul xarjTaRricxviT</t>
  </si>
  <si>
    <t xml:space="preserve"> 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</si>
  <si>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</si>
  <si>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</si>
  <si>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</si>
  <si>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</si>
  <si>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</si>
  <si>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</si>
  <si>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</si>
  <si>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</si>
  <si>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obieqt. xarjT. #1</t>
  </si>
  <si>
    <t>jami</t>
  </si>
  <si>
    <t>damatebiTi Rirebulebis gadasaxadi 18%</t>
  </si>
  <si>
    <t xml:space="preserve">sul krebsiTi saxarjTaRricxvo Rirebuleba </t>
  </si>
  <si>
    <t>Rirebuleba (lari)</t>
  </si>
  <si>
    <t>2</t>
  </si>
  <si>
    <t xml:space="preserve">SromiTi danaxarji </t>
  </si>
  <si>
    <t>eleqtrosamontaJo samuSaoebi</t>
  </si>
  <si>
    <t>I samSeneblo samuSaoebi</t>
  </si>
  <si>
    <t>gegmiuri dagroveba 8%</t>
  </si>
  <si>
    <t xml:space="preserve"> SromiTi danaxarji</t>
  </si>
  <si>
    <t xml:space="preserve"> SromiTi danaxarji </t>
  </si>
  <si>
    <t xml:space="preserve"> manqanebi</t>
  </si>
  <si>
    <t xml:space="preserve"> manqanebi </t>
  </si>
  <si>
    <t>obieqt. xarjT. #2</t>
  </si>
  <si>
    <t>ლარი</t>
  </si>
  <si>
    <t>ტონა</t>
  </si>
  <si>
    <t>სამშენებლო ნაგვის ტრანსპორტირება</t>
  </si>
  <si>
    <t>proeqtiT</t>
  </si>
  <si>
    <t>SromiTi resursi</t>
  </si>
  <si>
    <t>lokalur-resursuli xarjTaRricxva #1</t>
  </si>
  <si>
    <t>kv/m</t>
  </si>
  <si>
    <t>(mSeneblobis daxasiaTeba)</t>
  </si>
  <si>
    <t>lokalur-resursuli xarjTaRricxva</t>
  </si>
  <si>
    <t>rezervi gauTvaliswinebel xarjebze - 3%</t>
  </si>
  <si>
    <t>obieqt. xarjT. #3</t>
  </si>
  <si>
    <t>obieqt. xarjT. #4</t>
  </si>
  <si>
    <t>6</t>
  </si>
  <si>
    <t>lokalur-resursuli xarjTaRricxva #2</t>
  </si>
  <si>
    <t>lokalur-resursuli xarjTaRricxva #3</t>
  </si>
  <si>
    <t>9</t>
  </si>
  <si>
    <t>11</t>
  </si>
  <si>
    <t>kb/m</t>
  </si>
  <si>
    <t>srf</t>
  </si>
  <si>
    <t>1000 kubm</t>
  </si>
  <si>
    <t>qvabulis Ziris moSandakeba xeliT</t>
  </si>
  <si>
    <t>SromiTi danaxarji</t>
  </si>
  <si>
    <t>100 kubm</t>
  </si>
  <si>
    <t>man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</si>
  <si>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25</t>
    </r>
  </si>
  <si>
    <t>sxva manqanebi</t>
  </si>
  <si>
    <t xml:space="preserve"> duRabi wyobis</t>
  </si>
  <si>
    <t xml:space="preserve"> sxva manqanebi</t>
  </si>
  <si>
    <t>12</t>
  </si>
  <si>
    <t>s.n. da w.  IV-2-82 t-2 cx.11-20-3</t>
  </si>
  <si>
    <t xml:space="preserve"> meTlaxis fila </t>
  </si>
  <si>
    <t>duRabi mosapirkeTebeli</t>
  </si>
  <si>
    <t>s.n. da w.  IV-2-82 t-2 cx.11-8-1(2)</t>
  </si>
  <si>
    <t xml:space="preserve"> duRabi mosapirkeTebeli </t>
  </si>
  <si>
    <t xml:space="preserve"> meTlaxis iatakis mowyoba </t>
  </si>
  <si>
    <t>s.n. da w.   IV-2-82 t-2   cx.15-15-3</t>
  </si>
  <si>
    <t xml:space="preserve"> kafeli</t>
  </si>
  <si>
    <t xml:space="preserve">sabazro </t>
  </si>
  <si>
    <t xml:space="preserve"> manqanebi (1,5+0,24)</t>
  </si>
  <si>
    <t>Zelaki</t>
  </si>
  <si>
    <t>WanWiki qanCiT da sayeluriT</t>
  </si>
  <si>
    <t>cecxlgamZle xsnari</t>
  </si>
  <si>
    <t>plastmasis Weris profili siganiT 28 sm</t>
  </si>
  <si>
    <t>plastmasis kuTxovana</t>
  </si>
  <si>
    <t>sxva masala (1,69+0,74)</t>
  </si>
  <si>
    <t>grZ/m</t>
  </si>
  <si>
    <t>armatura aIIId=10mm</t>
  </si>
  <si>
    <t xml:space="preserve"> Werze plastikatis profilebis akvra xis karkasze</t>
  </si>
  <si>
    <t xml:space="preserve"> wyalmomarageba da kanalizacia</t>
  </si>
  <si>
    <t>wyalmomaragebis milebis gayvana diametriT - 25 mm-de</t>
  </si>
  <si>
    <t>gr.m</t>
  </si>
  <si>
    <r>
      <t xml:space="preserve">mili plastmasis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</si>
  <si>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</si>
  <si>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 xml:space="preserve"> sxvadasxva masala</t>
  </si>
  <si>
    <t>s.n. da w.        IV-2-82 t-3 cx.16-12-1</t>
  </si>
  <si>
    <t>milsadenebze Camketi armaturis dayeneba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</si>
  <si>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</si>
  <si>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</si>
  <si>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s.n. da w.        IV-2-82 t-3 cx.17-3-3</t>
  </si>
  <si>
    <t>onkanis da Semrevis dayeneba</t>
  </si>
  <si>
    <t>Semrevi xelsabanis</t>
  </si>
  <si>
    <t>unitazis onkani</t>
  </si>
  <si>
    <t>s.n. da w.        IV-2-82 t-3 cx.16-22</t>
  </si>
  <si>
    <t>milsadenebis hidravlikuri gamocda</t>
  </si>
  <si>
    <t>wyali</t>
  </si>
  <si>
    <t>s.n. da w.        IV-2-82 t-3 cx.16-6-1</t>
  </si>
  <si>
    <t>plastmasis sakanalizacio milis gayvana _ diametriT 50 mm</t>
  </si>
  <si>
    <t>fasonuri nawilebi</t>
  </si>
  <si>
    <t>samagri detalebi</t>
  </si>
  <si>
    <t>s.n. da w.        IV-2-82 t-3 cx.16-6-2</t>
  </si>
  <si>
    <t>igive _ diametriT 100 mm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</si>
  <si>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</si>
  <si>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cx.17-1-4</t>
  </si>
  <si>
    <t>xelsabanis dayeneba</t>
  </si>
  <si>
    <t>komp.</t>
  </si>
  <si>
    <t xml:space="preserve">xelsabani  </t>
  </si>
  <si>
    <t>unitazi  avziT</t>
  </si>
  <si>
    <t>s.n. da w.        IV-2-82 t-3 cx.17-1-9</t>
  </si>
  <si>
    <r>
      <t xml:space="preserve">trapi </t>
    </r>
    <r>
      <rPr>
        <sz val="10"/>
        <rFont val="Calibri"/>
        <family val="2"/>
      </rPr>
      <t>ф</t>
    </r>
    <r>
      <rPr>
        <sz val="10"/>
        <rFont val="AcadNusx"/>
        <family val="0"/>
      </rPr>
      <t>50 mm</t>
    </r>
  </si>
  <si>
    <t>s.n. da w.        IV-2-82 t-1 cx.1-80-3</t>
  </si>
  <si>
    <t>gruntis gaTxra arxSi xeliT</t>
  </si>
  <si>
    <t>s.n. da w.        IV-2-82 t-1 cx.1-81-3</t>
  </si>
  <si>
    <t>gruntis ukuCayra xeliT da zedmeti gruntis adgilze gasworeba</t>
  </si>
  <si>
    <t>13</t>
  </si>
  <si>
    <t>s.n. da w.        IV-2-82 t-8 cx.46-17-2</t>
  </si>
  <si>
    <t>eleqtro farebisTvis kedlebSi niSebis mowyoba</t>
  </si>
  <si>
    <t>s.n. da w.        IV-2-82 t-8 cx.46-20-1</t>
  </si>
  <si>
    <t>eleqtro sadenebisTvis kedlebSi arxebis mowyoba</t>
  </si>
  <si>
    <t>s.n. da w.        IV-2-82 t-8 cx.46-18-3</t>
  </si>
  <si>
    <t>eleqtro sadenebisTvis kedlebSi naxvretebis mowyoba</t>
  </si>
  <si>
    <t xml:space="preserve"> SromiTi resursi</t>
  </si>
  <si>
    <t xml:space="preserve"> Semyvan-gamanawilebeli faris dayeneba da momzadeba CarTvisaTvis</t>
  </si>
  <si>
    <t>Semyvan-gamanawilebeli fari</t>
  </si>
  <si>
    <t>avtomaturi amomrTveli 16 a</t>
  </si>
  <si>
    <t>s.n. da w.        IV-2-82 t-3 cx.21-18-1</t>
  </si>
  <si>
    <t>eleqtro sadenebis gayvana daxuruli el.gayvanilobisTvis</t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</si>
  <si>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</si>
  <si>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</si>
  <si>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</si>
  <si>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</si>
  <si>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>erTpolusa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</si>
  <si>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</si>
  <si>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</si>
  <si>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</si>
  <si>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IV-6-82 T-6. cx.8-471-1</t>
  </si>
  <si>
    <t>damiwebis eleqtrodebis mowyoba</t>
  </si>
  <si>
    <r>
      <t>kuTxovana 50</t>
    </r>
    <r>
      <rPr>
        <sz val="10"/>
        <rFont val="Calibri"/>
        <family val="2"/>
      </rPr>
      <t>×50×5</t>
    </r>
  </si>
  <si>
    <t>s.n. da w.        IV-6-82 T-6. cx.8-472-2</t>
  </si>
  <si>
    <t>damiwebis konturis mowyoba</t>
  </si>
  <si>
    <r>
      <t xml:space="preserve">zolovana </t>
    </r>
    <r>
      <rPr>
        <sz val="10"/>
        <rFont val="Calibri"/>
        <family val="2"/>
      </rPr>
      <t>40×4</t>
    </r>
  </si>
  <si>
    <t>zednadebi xarjebi 75% (SromiTi resursebidan)</t>
  </si>
  <si>
    <t>unitazis dayeneba (2 Cveulebrivi, erTi S.S.m pirebisTvis)</t>
  </si>
  <si>
    <t>unitazi avziT da damxmare moajirebiT (S.S.m. pirebisTvis)</t>
  </si>
  <si>
    <t>trapis dayeneba</t>
  </si>
  <si>
    <t>gamwmendi nagebobis mowyoba</t>
  </si>
  <si>
    <t>Weris sanaTi eko naTuriT</t>
  </si>
  <si>
    <r>
      <t xml:space="preserve">monoliTuri rk/betonis gamwmendi nagebobis მოწყობა კლასით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 25</t>
    </r>
  </si>
  <si>
    <t>masala RorRi 40-70 fraqcia</t>
  </si>
  <si>
    <t>liTonis mili d=100mm</t>
  </si>
  <si>
    <t>liTonis mili d=425mm</t>
  </si>
  <si>
    <t>sanaTuris dayeneba eko naTuriT</t>
  </si>
  <si>
    <t>proeq</t>
  </si>
  <si>
    <t>s.n. da w.  IV-2-82 t-2 cx.8-15-1</t>
  </si>
  <si>
    <t>eleqtro wylis gamacxelebeli 150 litri moculobis (evropuli warmoebis) 2kvt</t>
  </si>
  <si>
    <t>eleqtro wylis gamacxelebeli 150 litri moculobis (evropuli warmoebis) montaJiT 2kvt</t>
  </si>
  <si>
    <t>eleqtro gamwovi (evropuli warmoebis) 1kvt</t>
  </si>
  <si>
    <r>
      <t>samZarRva spilenZis sadeni 1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</si>
  <si>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s.n. da w.        IV-2-82 t-3 cx.17-4-1</t>
  </si>
  <si>
    <t>s.n. da w.        IV-2-82 t-3 cx.21-25-5</t>
  </si>
  <si>
    <t>s.n. da w.        IV-2-82 t-3 cx.21-11-1</t>
  </si>
  <si>
    <t>s.n. da w.        IV-2-82 t-3 cx.21-11-1
misadagebiT</t>
  </si>
  <si>
    <t xml:space="preserve"> 9-5-1 </t>
  </si>
  <si>
    <t>samontaJo konstruqciebi</t>
  </si>
  <si>
    <t>WanWiki qanCiT</t>
  </si>
  <si>
    <t>eleqtrodi</t>
  </si>
  <si>
    <t>sxva masalebi</t>
  </si>
  <si>
    <t>fari yalibis 25mm</t>
  </si>
  <si>
    <t>eqskavatori 0,5 kub.m ციცხვით</t>
  </si>
  <si>
    <t>III kategoriis gruntis damuSaveba qvabulSi eqskavatoriT, CamCis tevadobiT 0,5 kub.m gverdze dayriT</t>
  </si>
  <si>
    <t>manq/sT</t>
  </si>
  <si>
    <t xml:space="preserve">duRabi mosapirkeTebeli </t>
  </si>
  <si>
    <t xml:space="preserve"> duRabis tumbo 4 kubm/sT </t>
  </si>
  <si>
    <t xml:space="preserve">sn da w IV-2-82 t-5                                 34-59-8                                34-61-11              </t>
  </si>
  <si>
    <t>WanWikebi qanCiT</t>
  </si>
  <si>
    <r>
      <t xml:space="preserve">sakanalizacio plastmasis mili                                                                         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</si>
  <si>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21-27-1</t>
  </si>
  <si>
    <t>jalambari 0.5t</t>
  </si>
  <si>
    <t>1000 kvm</t>
  </si>
  <si>
    <t>Camoganili ficari III xarisx.                                                   40-60mm</t>
  </si>
  <si>
    <t xml:space="preserve">gruntis ukuCayra qvabulis ferdoebSi </t>
  </si>
  <si>
    <t xml:space="preserve">gruntis datkepna pnevmaturi satkepnebiT </t>
  </si>
  <si>
    <t>5</t>
  </si>
  <si>
    <t>pnevmaturi satkepni moZrav kompresorze</t>
  </si>
  <si>
    <t>s.n. da w.  IV-2-82 t-2 cx.6-1-7</t>
  </si>
  <si>
    <t>მასალების ტრანსპორტირება 3%</t>
  </si>
  <si>
    <t>ჯამი</t>
  </si>
  <si>
    <t>masalebis transportireba 3%</t>
  </si>
  <si>
    <t>izoaluminis karebi</t>
  </si>
  <si>
    <t xml:space="preserve">მასალების ტრანსpორტირება 3% </t>
  </si>
  <si>
    <t>onis municipalitetis meria</t>
  </si>
  <si>
    <t>I sademontaJo samuSaoebi</t>
  </si>
  <si>
    <t>Sromis danaxarji</t>
  </si>
  <si>
    <t>Senobis orive mxares arsebuli kibis demontaJi</t>
  </si>
  <si>
    <t>30-11-2</t>
  </si>
  <si>
    <t>კბ/მ</t>
  </si>
  <si>
    <t>შრომის დანახარჯი</t>
  </si>
  <si>
    <t>კაც/სთ</t>
  </si>
  <si>
    <t>სხვა მანქანები</t>
  </si>
  <si>
    <t>t</t>
  </si>
  <si>
    <t>ტ</t>
  </si>
  <si>
    <t>46-30-2</t>
  </si>
  <si>
    <t xml:space="preserve">Senobis Sida mxares arsebuli yvela karis da rva cali fanjris demontaJi </t>
  </si>
  <si>
    <t>46-30-2 
misadagebiT</t>
  </si>
  <si>
    <t>ს.ნ.და წ.                                         6-1-4</t>
  </si>
  <si>
    <t>კუბ.მ</t>
  </si>
  <si>
    <t xml:space="preserve">შრომითი დანახარჯი  </t>
  </si>
  <si>
    <t>ყალიბის ფარი 25მმ</t>
  </si>
  <si>
    <t>კვ/მ</t>
  </si>
  <si>
    <t xml:space="preserve">ხის ფიცარი მე-3 ხარისხის 40მმ </t>
  </si>
  <si>
    <t>proeq.</t>
  </si>
  <si>
    <t>სხვა  მასალები</t>
  </si>
  <si>
    <t>Senobis or mxares arsebuli kibeebis adgilze axali rk/betonis kibeebis da pandusebis mowyoba</t>
  </si>
  <si>
    <r>
      <t xml:space="preserve">ბეტონი 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-15  </t>
    </r>
  </si>
  <si>
    <t>armatura  aIIId-8mm</t>
  </si>
  <si>
    <t xml:space="preserve"> 11-1-5 </t>
  </si>
  <si>
    <t>balastiT Sevseba etapobrivi datkepvna pnevmosatkepniT</t>
  </si>
  <si>
    <t xml:space="preserve">masala balasti </t>
  </si>
  <si>
    <t>pnevmosatkepni</t>
  </si>
  <si>
    <t>balastis ტრანსპორტირება ზიდვის მანძილი 20კმ</t>
  </si>
  <si>
    <t>proeqt</t>
  </si>
  <si>
    <t xml:space="preserve"> 6-1-16</t>
  </si>
  <si>
    <t>SenobaSi betonis filis mowyoba</t>
  </si>
  <si>
    <t>fari yalibis 40mm</t>
  </si>
  <si>
    <t xml:space="preserve">hidoroizolacio membrana </t>
  </si>
  <si>
    <t xml:space="preserve">masala armatura aId=6mm biji 20sm </t>
  </si>
  <si>
    <t>Camoganili ficari III xarisx. 40mm</t>
  </si>
  <si>
    <t xml:space="preserve">gare kibeze, pandusze da SesasvlelSi betonis filis mowyoba </t>
  </si>
  <si>
    <t>sabazro</t>
  </si>
  <si>
    <t>46-15-2</t>
  </si>
  <si>
    <t xml:space="preserve">Senobis Sida da gare mxares kedlebidan nalesis nawilobrivi  demontaJi </t>
  </si>
  <si>
    <t>s.n. da w.  IV-2-82 t-2 10-47-3</t>
  </si>
  <si>
    <t>m2</t>
  </si>
  <si>
    <t>ficari garanduli SipebiT, mSrali sisq 4sm</t>
  </si>
  <si>
    <t>pr</t>
  </si>
  <si>
    <t>s.n. da w.  IV-2-82 t-2cx 10-48-1</t>
  </si>
  <si>
    <t>s.n. da w.  IV-2-82 t-2  10-11</t>
  </si>
  <si>
    <t>m3</t>
  </si>
  <si>
    <t>k/sT</t>
  </si>
  <si>
    <t>manqanebi</t>
  </si>
  <si>
    <r>
      <t>m</t>
    </r>
    <r>
      <rPr>
        <vertAlign val="superscript"/>
        <sz val="10"/>
        <rFont val="AcadNusx"/>
        <family val="0"/>
      </rPr>
      <t>3</t>
    </r>
  </si>
  <si>
    <t>xis Zeli</t>
  </si>
  <si>
    <t>antiseptikuri pasta</t>
  </si>
  <si>
    <t>kg.</t>
  </si>
  <si>
    <t>mavTuli (glinula)</t>
  </si>
  <si>
    <t>toli</t>
  </si>
  <si>
    <r>
      <t>m</t>
    </r>
    <r>
      <rPr>
        <vertAlign val="superscript"/>
        <sz val="10"/>
        <rFont val="AcadNusx"/>
        <family val="0"/>
      </rPr>
      <t>2</t>
    </r>
  </si>
  <si>
    <t>samSeneblo lursmnebi</t>
  </si>
  <si>
    <t xml:space="preserve">sarTulSua gadaxurvis amortizirebuli koWebis Secvla </t>
  </si>
  <si>
    <t xml:space="preserve">xis iatakis Seficvris mowyoba </t>
  </si>
  <si>
    <t xml:space="preserve">Weris Seficvris mowyoba </t>
  </si>
  <si>
    <t>ficari garanduli SipebiT, mSrali sisq 14mm</t>
  </si>
  <si>
    <t>tixrebis wyoba wvrili sakedle blokebiT 20 სm. (kabinebSi h=2.5m) arsebul kar fanjris adgilebis nawilobrivi Sevseba</t>
  </si>
  <si>
    <t xml:space="preserve"> wvrili sakedle bloki sisqiT 20sm </t>
  </si>
  <si>
    <t xml:space="preserve"> 11-7-1 </t>
  </si>
  <si>
    <t xml:space="preserve">Tbosaizolacio fenis mowyoba 5sm sisqis </t>
  </si>
  <si>
    <t>pemzi ტრანსპორტირება ზიდვის მანძილი 200კმ</t>
  </si>
  <si>
    <t xml:space="preserve">pemza </t>
  </si>
  <si>
    <t>webocementi</t>
  </si>
  <si>
    <t>iatakebze cementis mWimis mowyoba sisqiT 4 sm</t>
  </si>
  <si>
    <t>sveli wertilis kedlebze kafelis filebis akvra</t>
  </si>
  <si>
    <t>საბაზრო ხელშეკრულება</t>
  </si>
  <si>
    <t>შრომითი რესურსი</t>
  </si>
  <si>
    <t>საბაზრო</t>
  </si>
  <si>
    <t>მასალა უდ პროფილი</t>
  </si>
  <si>
    <t>გრძ/მ</t>
  </si>
  <si>
    <t>მასალა ცდ პროფილი</t>
  </si>
  <si>
    <t>TviTmWreli sWvali</t>
  </si>
  <si>
    <t>მანქანები</t>
  </si>
  <si>
    <t>სხვა მასალები</t>
  </si>
  <si>
    <t xml:space="preserve">s.n. da w.                                                           IV-2-82 t-2                                                  cx.15-55-5 </t>
  </si>
  <si>
    <t>Senobis Sida kedlebis lesva qviSa cementis xsnariT</t>
  </si>
  <si>
    <t>mavTulis bade</t>
  </si>
  <si>
    <t xml:space="preserve">s.n. da w.                               IV-2-82 t-2                                                                                             cx.15-168-7                                                                            </t>
  </si>
  <si>
    <t xml:space="preserve"> saRebavi </t>
  </si>
  <si>
    <t xml:space="preserve"> fiTxi </t>
  </si>
  <si>
    <t xml:space="preserve"> sxva masala </t>
  </si>
  <si>
    <t>alufomi a-2a-8 (germanuli) Tbo vibro da xmis izolacia  polieTilenis orive mxridan aluminis dafarviT</t>
  </si>
  <si>
    <t>s.n. da w.  IV-2-82 t-2  10-41-3</t>
  </si>
  <si>
    <t>xis mSrali Tamasa 50X50mm</t>
  </si>
  <si>
    <t>gr</t>
  </si>
  <si>
    <t>თაბაშირ მუყაოს ფილა</t>
  </si>
  <si>
    <t>xis koWi 100X100mm</t>
  </si>
  <si>
    <t xml:space="preserve"> s.n. da w.  IV-2-82 t-2              9-5-1 misad</t>
  </si>
  <si>
    <t>fanjara</t>
  </si>
  <si>
    <t>s.n. da w.  IV-2-82 t-2 10-20-1 misad</t>
  </si>
  <si>
    <t>karebis anjama, saketi,saxeluri da sxva</t>
  </si>
  <si>
    <t>kompl.</t>
  </si>
  <si>
    <t>minapaketiT Seminuli metaloplastmasisi fanjriს mowyoba</t>
  </si>
  <si>
    <t>m.d.f.-is karis mowyoba</t>
  </si>
  <si>
    <t>dazianebuli minapaketebis Secvla ormagi (mowyobiT)</t>
  </si>
  <si>
    <t>kari</t>
  </si>
  <si>
    <t>werebze თაბაშირ მუყაოს ფილების აკვრა</t>
  </si>
  <si>
    <t>s.n. da w.  IV-2-82 t-2 15-163-1,2</t>
  </si>
  <si>
    <t>100 კვ/მ</t>
  </si>
  <si>
    <t>laqi gamxsneliT</t>
  </si>
  <si>
    <t>TabaSirmuyaos tixaris mowyoba Seficvra Sida (ormagi)</t>
  </si>
  <si>
    <t>s.n. da w.  IV-2-82 t-2  10-37-1</t>
  </si>
  <si>
    <t>axlad mowyobili xis elementebis cecxldacva</t>
  </si>
  <si>
    <t xml:space="preserve"> cecxldamcavi xsnari</t>
  </si>
  <si>
    <t>s.n. da w.   IV-2-82 t-2 10-38-3</t>
  </si>
  <si>
    <t>axlad mowyobili xis elementebis antiseptireba</t>
  </si>
  <si>
    <t>antiseptikuri xsnari</t>
  </si>
  <si>
    <t>xis iatakebis SeRebva sami piri</t>
  </si>
  <si>
    <t>xis Werebis galaqva sami piri</t>
  </si>
  <si>
    <t>saRebavi gamxsneliT</t>
  </si>
  <si>
    <t>s.n. da w.                                                           IV-2-82 t-2                                                  cx.15-52-1</t>
  </si>
  <si>
    <t>Senobis gare kedlebis lesva qviSa cementis xsnariT</t>
  </si>
  <si>
    <t xml:space="preserve">Siga kedlebis  maRalxarisxovani SeRebva </t>
  </si>
  <si>
    <t xml:space="preserve">gare kedlebis  maRalxarisxovani SeRebva </t>
  </si>
  <si>
    <t>SenobaSi arsebuli betonis safexurebis demontaJi</t>
  </si>
  <si>
    <t>sabazro saxelSekrulebo</t>
  </si>
  <si>
    <t>gaTbobis sakvamuri milis mowyoba</t>
  </si>
  <si>
    <t>masala mili qudiT d=219mm 5mm sisqiT</t>
  </si>
  <si>
    <t>silikoni</t>
  </si>
  <si>
    <t xml:space="preserve">s.n. da w.  IV-2-82 t-2 9-7-1 </t>
  </si>
  <si>
    <t>amwe muxluxa svlaze 16 t</t>
  </si>
  <si>
    <t>Senobis orive mxares axlad mowyobil kibeebze da pandusebze moajirebis mowyoba</t>
  </si>
  <si>
    <t>liTonis milkvadrati 60X60X3mm</t>
  </si>
  <si>
    <t>liTonis milkvadrati 25X25X2mm</t>
  </si>
  <si>
    <t>s.n. da w.  IV-2-82 t-2  cx.15-164-6</t>
  </si>
  <si>
    <t>liTonkonstruqciebis elementebis SeRebva</t>
  </si>
  <si>
    <t xml:space="preserve"> saRebavi wyalmedegi</t>
  </si>
  <si>
    <t>olifa</t>
  </si>
  <si>
    <t>fasadis ori mxridan saxuravis Seficvra</t>
  </si>
  <si>
    <t>ficari garanduli SipebiT, mSrali sisq 20mm</t>
  </si>
  <si>
    <t>fasadis ori mxridan saxuravis Seficvris galaqva sami piri</t>
  </si>
  <si>
    <t>საშენებლო ნაგვის გატანა 5 კმ მანძილზე</t>
  </si>
  <si>
    <t>SenobaSi arsebul kibeebze betonis qarxnuli warmoebis safexurebis mowyoba</t>
  </si>
  <si>
    <t>betonis safexuri</t>
  </si>
  <si>
    <t>ს.ნ და წ. 2-82 ტ-2 ცხ.8-22-2</t>
  </si>
  <si>
    <t>გარე ინვენტარული ხარაჩოს დაყენება და დაშლა სიმაღლით 9 მეტრამდე</t>
  </si>
  <si>
    <t>100 კვმ</t>
  </si>
  <si>
    <t>შრომითი დანახარჯები</t>
  </si>
  <si>
    <t>ხარაჩოს ლითონის დეტალები</t>
  </si>
  <si>
    <t>ხარაჩოს ხის დეტალები</t>
  </si>
  <si>
    <t>ფენილის ფარი</t>
  </si>
  <si>
    <t>კვ.მ</t>
  </si>
  <si>
    <t>igive _ diametriT 200 mm</t>
  </si>
  <si>
    <t>20-30-1</t>
  </si>
  <si>
    <t>c</t>
  </si>
  <si>
    <t>SromiTi resursebi</t>
  </si>
  <si>
    <t>rk/b Wa d=1500mm h=1000mm</t>
  </si>
  <si>
    <t>betoni saxuravi fila, xufiT</t>
  </si>
  <si>
    <t>sxva masala</t>
  </si>
  <si>
    <t xml:space="preserve">wyalsadenis rk/b Webis mowyoba </t>
  </si>
  <si>
    <t>rk/b Wis Ziri d=1000mm</t>
  </si>
  <si>
    <t>rk/b Wa d=1000mm h=1000mm</t>
  </si>
  <si>
    <r>
      <t xml:space="preserve">sakanalizacio plastmasis mili </t>
    </r>
    <r>
      <rPr>
        <sz val="10"/>
        <rFont val="Calibri"/>
        <family val="2"/>
      </rPr>
      <t xml:space="preserve">ф200 </t>
    </r>
    <r>
      <rPr>
        <sz val="10"/>
        <rFont val="AcadNusx"/>
        <family val="0"/>
      </rPr>
      <t>mm</t>
    </r>
  </si>
  <si>
    <t>arsebuli Robis gadatana da liTonis karis mowyoba</t>
  </si>
  <si>
    <t>masala mili d=114mm 4.5mm sisqiT</t>
  </si>
  <si>
    <t>lionis kari</t>
  </si>
  <si>
    <t>19</t>
  </si>
  <si>
    <t>21</t>
  </si>
  <si>
    <t>minapaketiT Seminuli izoaluminis karis mowyoba</t>
  </si>
  <si>
    <t>lokalur-resursuli xarjTaRricxva #4</t>
  </si>
  <si>
    <t>22_5_7</t>
  </si>
  <si>
    <t>saxanZro hidrantis mowyoba</t>
  </si>
  <si>
    <t>masala saxanZro hidranti</t>
  </si>
  <si>
    <t>wyalmomaragebis milebis gayvana diametriT - 20 mm-de</t>
  </si>
  <si>
    <r>
      <t xml:space="preserve">fitingi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20mm</t>
    </r>
  </si>
  <si>
    <r>
      <t xml:space="preserve">fitingi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25 mm</t>
    </r>
  </si>
  <si>
    <t>s.n. da w.        IV-2-82 t-3 cx.16-24-3</t>
  </si>
  <si>
    <t>s.n. da w.        IV-2-82 t-3 cx.16-24-2</t>
  </si>
  <si>
    <t>onis municipalitetis sof Rebis sajaro skolis Senobis reabilitacia</t>
  </si>
  <si>
    <t>sn da w IV-2-82 t-1 1-64-3</t>
  </si>
  <si>
    <t>sn da w IV-2-82 t-1 1-11-15</t>
  </si>
  <si>
    <t xml:space="preserve">sndaw IV-2-82 
t-1 1-22-15                                               </t>
  </si>
  <si>
    <t>sndaw IV-2-82 
t-1  1-118-11</t>
  </si>
  <si>
    <t>Senobaze arsebuli xis iatakebis iatakis  demontaJi (dasawyobeba)</t>
  </si>
  <si>
    <t>Senobis or fasadis mxridan saxuravze arsebuli xis Seficvris demontaJi (dasawyobeba)</t>
  </si>
  <si>
    <t>zednadebi xarjebi %</t>
  </si>
  <si>
    <t>gegmiuri dagroveba %</t>
  </si>
  <si>
    <t>%</t>
  </si>
  <si>
    <t>danarTi 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</si>
</sst>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#,##0_);\-#,##0"/>
    <numFmt numFmtId="195" formatCode="#,##0.000_);\-#,##0.000"/>
    <numFmt numFmtId="196" formatCode="#,##0.0_);\-#,##0.0"/>
    <numFmt numFmtId="197" formatCode="#,##0.00_);[Red]#,##0.00"/>
    <numFmt numFmtId="198" formatCode="#,##0.00_);\-#,##0.00"/>
    <numFmt numFmtId="199" formatCode="_-* #,##0_р_._-;\-* #,##0_р_._-;_-* &quot;-&quot;??_р_._-;_-@_-"/>
    <numFmt numFmtId="200" formatCode="0.000000000"/>
    <numFmt numFmtId="201" formatCode="_(* #,##0.0_);_(* \(#,##0.0\);_(* &quot;-&quot;??_);_(@_)"/>
  </numFmts>
  <fonts count="51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cademiuri Nuskhuri"/>
      <family val="0"/>
    </font>
    <font>
      <b/>
      <sz val="10"/>
      <name val="Academiuri Nuskhuri"/>
      <family val="0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Sylfaen"/>
      <family val="1"/>
    </font>
    <font>
      <sz val="12"/>
      <name val="AcadNusx"/>
      <family val="0"/>
    </font>
    <font>
      <vertAlign val="superscript"/>
      <sz val="10"/>
      <name val="AcadNusx"/>
      <family val="0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" borderId="1" applyNumberFormat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3" fillId="22" borderId="1" applyNumberFormat="0" applyAlignment="0" applyProtection="0"/>
    <xf numFmtId="0" fontId="44" fillId="0" borderId="6" applyNumberFormat="0" applyFill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6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2" fontId="1" fillId="25" borderId="0" xfId="0" applyNumberFormat="1" applyFont="1" applyFill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textRotation="90" wrapText="1"/>
    </xf>
    <xf numFmtId="2" fontId="4" fillId="25" borderId="10" xfId="0" applyNumberFormat="1" applyFont="1" applyFill="1" applyBorder="1" applyAlignment="1">
      <alignment horizontal="center" vertical="center" textRotation="90" wrapText="1"/>
    </xf>
    <xf numFmtId="1" fontId="4" fillId="25" borderId="10" xfId="0" applyNumberFormat="1" applyFont="1" applyFill="1" applyBorder="1" applyAlignment="1">
      <alignment horizontal="center" vertical="center" textRotation="90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5" fillId="25" borderId="10" xfId="0" applyNumberFormat="1" applyFont="1" applyFill="1" applyBorder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1" fontId="5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18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188" fontId="3" fillId="25" borderId="10" xfId="0" applyNumberFormat="1" applyFont="1" applyFill="1" applyBorder="1" applyAlignment="1">
      <alignment horizontal="center" vertical="center"/>
    </xf>
    <xf numFmtId="189" fontId="3" fillId="25" borderId="10" xfId="0" applyNumberFormat="1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49" fontId="4" fillId="25" borderId="0" xfId="0" applyNumberFormat="1" applyFont="1" applyFill="1" applyAlignment="1">
      <alignment horizontal="center" vertical="center" wrapText="1"/>
    </xf>
    <xf numFmtId="2" fontId="3" fillId="25" borderId="0" xfId="0" applyNumberFormat="1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/>
    </xf>
    <xf numFmtId="2" fontId="5" fillId="25" borderId="0" xfId="0" applyNumberFormat="1" applyFont="1" applyFill="1" applyAlignment="1">
      <alignment horizontal="center" vertical="center"/>
    </xf>
    <xf numFmtId="1" fontId="1" fillId="25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49" fontId="1" fillId="25" borderId="0" xfId="0" applyNumberFormat="1" applyFont="1" applyFill="1" applyAlignment="1">
      <alignment vertical="center" wrapText="1"/>
    </xf>
    <xf numFmtId="1" fontId="5" fillId="25" borderId="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1" fontId="3" fillId="25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190" fontId="3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5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9" fontId="5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8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7" fillId="25" borderId="0" xfId="0" applyFont="1" applyFill="1" applyAlignment="1">
      <alignment horizontal="center" vertical="center" wrapText="1"/>
    </xf>
    <xf numFmtId="0" fontId="7" fillId="25" borderId="0" xfId="0" applyFont="1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1" fontId="0" fillId="25" borderId="0" xfId="0" applyNumberFormat="1" applyFill="1" applyAlignment="1">
      <alignment horizontal="center" vertical="center"/>
    </xf>
    <xf numFmtId="0" fontId="4" fillId="25" borderId="10" xfId="63" applyFont="1" applyFill="1" applyBorder="1" applyAlignment="1">
      <alignment horizontal="center" vertical="center" wrapText="1"/>
      <protection/>
    </xf>
    <xf numFmtId="49" fontId="2" fillId="25" borderId="0" xfId="0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2" fontId="3" fillId="25" borderId="0" xfId="0" applyNumberFormat="1" applyFont="1" applyFill="1" applyBorder="1" applyAlignment="1">
      <alignment horizontal="center" vertical="center" wrapText="1"/>
    </xf>
    <xf numFmtId="2" fontId="5" fillId="25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2" fontId="49" fillId="25" borderId="10" xfId="0" applyNumberFormat="1" applyFont="1" applyFill="1" applyBorder="1" applyAlignment="1">
      <alignment horizontal="center" vertical="center" wrapText="1" shrinkToFit="1"/>
    </xf>
    <xf numFmtId="0" fontId="5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2" fontId="5" fillId="26" borderId="10" xfId="0" applyNumberFormat="1" applyFont="1" applyFill="1" applyBorder="1" applyAlignment="1">
      <alignment horizontal="center" vertical="center" wrapText="1"/>
    </xf>
    <xf numFmtId="189" fontId="5" fillId="26" borderId="10" xfId="0" applyNumberFormat="1" applyFont="1" applyFill="1" applyBorder="1" applyAlignment="1">
      <alignment horizontal="center" vertical="center"/>
    </xf>
    <xf numFmtId="49" fontId="5" fillId="26" borderId="10" xfId="0" applyNumberFormat="1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188" fontId="5" fillId="26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25" borderId="10" xfId="0" applyNumberFormat="1" applyFont="1" applyFill="1" applyBorder="1" applyAlignment="1">
      <alignment horizontal="center" vertical="center" wrapText="1"/>
    </xf>
    <xf numFmtId="1" fontId="5" fillId="26" borderId="10" xfId="0" applyNumberFormat="1" applyFont="1" applyFill="1" applyBorder="1" applyAlignment="1">
      <alignment horizontal="center" vertical="center" wrapText="1"/>
    </xf>
    <xf numFmtId="189" fontId="5" fillId="26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 quotePrefix="1">
      <alignment horizontal="center" vertical="center" wrapText="1"/>
    </xf>
    <xf numFmtId="14" fontId="6" fillId="26" borderId="10" xfId="0" applyNumberFormat="1" applyFont="1" applyFill="1" applyBorder="1" applyAlignment="1">
      <alignment horizontal="center" vertical="center" wrapText="1"/>
    </xf>
    <xf numFmtId="190" fontId="5" fillId="26" borderId="10" xfId="0" applyNumberFormat="1" applyFont="1" applyFill="1" applyBorder="1" applyAlignment="1">
      <alignment horizontal="center" vertical="center" wrapText="1"/>
    </xf>
    <xf numFmtId="188" fontId="6" fillId="26" borderId="10" xfId="0" applyNumberFormat="1" applyFont="1" applyFill="1" applyBorder="1" applyAlignment="1">
      <alignment horizontal="center" vertical="center" wrapText="1"/>
    </xf>
    <xf numFmtId="2" fontId="6" fillId="26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2" fontId="5" fillId="26" borderId="10" xfId="0" applyNumberFormat="1" applyFont="1" applyFill="1" applyBorder="1" applyAlignment="1">
      <alignment horizontal="center" vertical="center"/>
    </xf>
    <xf numFmtId="0" fontId="3" fillId="25" borderId="10" xfId="62" applyFont="1" applyFill="1" applyBorder="1" applyAlignment="1">
      <alignment horizontal="center" vertical="center" wrapText="1"/>
      <protection/>
    </xf>
    <xf numFmtId="2" fontId="0" fillId="25" borderId="10" xfId="62" applyNumberFormat="1" applyFont="1" applyFill="1" applyBorder="1" applyAlignment="1">
      <alignment horizontal="center" vertical="center" wrapText="1"/>
      <protection/>
    </xf>
    <xf numFmtId="49" fontId="6" fillId="26" borderId="10" xfId="0" applyNumberFormat="1" applyFont="1" applyFill="1" applyBorder="1" applyAlignment="1">
      <alignment horizontal="center" vertical="center" wrapText="1"/>
    </xf>
    <xf numFmtId="188" fontId="5" fillId="26" borderId="10" xfId="0" applyNumberFormat="1" applyFont="1" applyFill="1" applyBorder="1" applyAlignment="1">
      <alignment horizontal="center" vertical="center"/>
    </xf>
    <xf numFmtId="188" fontId="0" fillId="25" borderId="10" xfId="6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 vertical="center" wrapText="1"/>
    </xf>
    <xf numFmtId="49" fontId="6" fillId="28" borderId="10" xfId="0" applyNumberFormat="1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15" fillId="25" borderId="0" xfId="0" applyFont="1" applyFill="1" applyAlignment="1">
      <alignment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2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26" borderId="11" xfId="0" applyFont="1" applyFill="1" applyBorder="1" applyAlignment="1">
      <alignment horizontal="center" vertical="center" wrapText="1"/>
    </xf>
    <xf numFmtId="2" fontId="5" fillId="26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64" applyFont="1" applyFill="1" applyBorder="1" applyAlignment="1">
      <alignment horizontal="center" vertical="center" wrapText="1"/>
      <protection/>
    </xf>
    <xf numFmtId="201" fontId="3" fillId="25" borderId="10" xfId="0" applyNumberFormat="1" applyFont="1" applyFill="1" applyBorder="1" applyAlignment="1">
      <alignment horizontal="center" vertical="center" wrapText="1"/>
    </xf>
    <xf numFmtId="201" fontId="18" fillId="25" borderId="10" xfId="0" applyNumberFormat="1" applyFont="1" applyFill="1" applyBorder="1" applyAlignment="1">
      <alignment horizontal="center" vertical="center" wrapText="1"/>
    </xf>
    <xf numFmtId="201" fontId="3" fillId="25" borderId="10" xfId="55" applyNumberFormat="1" applyFont="1" applyFill="1" applyBorder="1" applyAlignment="1">
      <alignment horizontal="center" vertical="center" wrapText="1"/>
      <protection/>
    </xf>
    <xf numFmtId="0" fontId="5" fillId="28" borderId="10" xfId="0" applyFont="1" applyFill="1" applyBorder="1" applyAlignment="1">
      <alignment horizontal="center" vertical="center" wrapText="1"/>
    </xf>
    <xf numFmtId="49" fontId="5" fillId="28" borderId="10" xfId="0" applyNumberFormat="1" applyFont="1" applyFill="1" applyBorder="1" applyAlignment="1">
      <alignment horizontal="center" vertical="center" wrapText="1"/>
    </xf>
    <xf numFmtId="201" fontId="5" fillId="28" borderId="10" xfId="0" applyNumberFormat="1" applyFont="1" applyFill="1" applyBorder="1" applyAlignment="1">
      <alignment horizontal="center" vertical="center" wrapText="1"/>
    </xf>
    <xf numFmtId="189" fontId="5" fillId="28" borderId="10" xfId="0" applyNumberFormat="1" applyFont="1" applyFill="1" applyBorder="1" applyAlignment="1">
      <alignment horizontal="center" vertical="center"/>
    </xf>
    <xf numFmtId="1" fontId="5" fillId="28" borderId="10" xfId="0" applyNumberFormat="1" applyFont="1" applyFill="1" applyBorder="1" applyAlignment="1">
      <alignment horizontal="center" vertical="center" wrapText="1"/>
    </xf>
    <xf numFmtId="188" fontId="5" fillId="28" borderId="10" xfId="0" applyNumberFormat="1" applyFont="1" applyFill="1" applyBorder="1" applyAlignment="1">
      <alignment horizontal="center" vertical="center" wrapText="1"/>
    </xf>
    <xf numFmtId="2" fontId="5" fillId="28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left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are wyalsadfenigagarini 2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S.S.S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1"/>
  <sheetViews>
    <sheetView tabSelected="1" zoomScaleSheetLayoutView="130" zoomScalePageLayoutView="0" workbookViewId="0" topLeftCell="A1">
      <selection activeCell="D1" sqref="D1:H1"/>
    </sheetView>
  </sheetViews>
  <sheetFormatPr defaultColWidth="9.140625" defaultRowHeight="12.75"/>
  <cols>
    <col min="1" max="1" width="5.140625" style="21" customWidth="1"/>
    <col min="2" max="2" width="20.421875" style="1" customWidth="1"/>
    <col min="3" max="3" width="48.28125" style="12" customWidth="1"/>
    <col min="4" max="4" width="12.140625" style="12" customWidth="1"/>
    <col min="5" max="5" width="11.28125" style="12" customWidth="1"/>
    <col min="6" max="6" width="14.28125" style="12" customWidth="1"/>
    <col min="7" max="7" width="13.00390625" style="12" customWidth="1"/>
    <col min="8" max="8" width="18.8515625" style="12" customWidth="1"/>
    <col min="9" max="16384" width="9.140625" style="12" customWidth="1"/>
  </cols>
  <sheetData>
    <row r="1" spans="4:8" ht="13.5">
      <c r="D1" s="220" t="s">
        <v>394</v>
      </c>
      <c r="E1" s="220"/>
      <c r="F1" s="220"/>
      <c r="G1" s="220"/>
      <c r="H1" s="220"/>
    </row>
    <row r="2" spans="1:8" ht="20.25" customHeight="1">
      <c r="A2" s="201" t="s">
        <v>210</v>
      </c>
      <c r="B2" s="201"/>
      <c r="C2" s="201"/>
      <c r="D2" s="201"/>
      <c r="E2" s="201"/>
      <c r="F2" s="201"/>
      <c r="G2" s="201"/>
      <c r="H2" s="201"/>
    </row>
    <row r="3" spans="1:8" ht="13.5">
      <c r="A3" s="201" t="s">
        <v>58</v>
      </c>
      <c r="B3" s="201"/>
      <c r="C3" s="201"/>
      <c r="D3" s="201"/>
      <c r="E3" s="201"/>
      <c r="F3" s="201"/>
      <c r="G3" s="201"/>
      <c r="H3" s="201"/>
    </row>
    <row r="4" spans="1:8" ht="13.5">
      <c r="A4" s="201" t="s">
        <v>59</v>
      </c>
      <c r="B4" s="201"/>
      <c r="C4" s="201"/>
      <c r="D4" s="201"/>
      <c r="E4" s="201"/>
      <c r="F4" s="201"/>
      <c r="G4" s="201"/>
      <c r="H4" s="201"/>
    </row>
    <row r="5" spans="1:8" ht="13.5">
      <c r="A5" s="189" t="s">
        <v>384</v>
      </c>
      <c r="B5" s="189"/>
      <c r="C5" s="189"/>
      <c r="D5" s="189"/>
      <c r="E5" s="189"/>
      <c r="F5" s="189"/>
      <c r="G5" s="189"/>
      <c r="H5" s="189"/>
    </row>
    <row r="6" spans="1:8" ht="17.25" customHeight="1">
      <c r="A6" s="199"/>
      <c r="B6" s="199"/>
      <c r="C6" s="199"/>
      <c r="D6" s="35"/>
      <c r="E6" s="35"/>
      <c r="F6" s="35"/>
      <c r="G6" s="35"/>
      <c r="H6" s="13"/>
    </row>
    <row r="7" spans="1:8" ht="13.5">
      <c r="A7" s="200"/>
      <c r="B7" s="200"/>
      <c r="C7" s="200"/>
      <c r="D7" s="200"/>
      <c r="E7" s="200"/>
      <c r="F7" s="200"/>
      <c r="G7" s="200"/>
      <c r="H7" s="200"/>
    </row>
    <row r="8" ht="9.75" customHeight="1" hidden="1"/>
    <row r="9" spans="1:8" ht="22.5" customHeight="1">
      <c r="A9" s="190" t="s">
        <v>1</v>
      </c>
      <c r="B9" s="192" t="s">
        <v>29</v>
      </c>
      <c r="C9" s="194" t="s">
        <v>30</v>
      </c>
      <c r="D9" s="196" t="s">
        <v>31</v>
      </c>
      <c r="E9" s="197"/>
      <c r="F9" s="197"/>
      <c r="G9" s="197"/>
      <c r="H9" s="198"/>
    </row>
    <row r="10" spans="1:8" ht="43.5" customHeight="1">
      <c r="A10" s="191"/>
      <c r="B10" s="193"/>
      <c r="C10" s="195"/>
      <c r="D10" s="2" t="s">
        <v>32</v>
      </c>
      <c r="E10" s="2" t="s">
        <v>28</v>
      </c>
      <c r="F10" s="2" t="s">
        <v>33</v>
      </c>
      <c r="G10" s="2" t="s">
        <v>34</v>
      </c>
      <c r="H10" s="2" t="s">
        <v>35</v>
      </c>
    </row>
    <row r="11" spans="1:8" ht="18" customHeight="1">
      <c r="A11" s="2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32.25" customHeight="1">
      <c r="A12" s="23">
        <v>1</v>
      </c>
      <c r="B12" s="2" t="s">
        <v>36</v>
      </c>
      <c r="C12" s="3" t="str">
        <f>'1-1'!A3</f>
        <v>samSeneblo samuSaoebi</v>
      </c>
      <c r="D12" s="14">
        <f>'1-1'!H251</f>
        <v>0</v>
      </c>
      <c r="E12" s="24"/>
      <c r="F12" s="24"/>
      <c r="G12" s="24"/>
      <c r="H12" s="14">
        <f>G12+F12+E12+D12</f>
        <v>0</v>
      </c>
    </row>
    <row r="13" spans="1:8" ht="32.25" customHeight="1">
      <c r="A13" s="23" t="s">
        <v>41</v>
      </c>
      <c r="B13" s="2" t="s">
        <v>50</v>
      </c>
      <c r="C13" s="3" t="str">
        <f>'1-2'!A3</f>
        <v> wyalmomarageba da kanalizacia</v>
      </c>
      <c r="D13" s="14"/>
      <c r="E13" s="14">
        <f>'1-2'!H98</f>
        <v>0</v>
      </c>
      <c r="F13" s="24"/>
      <c r="G13" s="24"/>
      <c r="H13" s="14">
        <f>G13+F13+E13+D13</f>
        <v>0</v>
      </c>
    </row>
    <row r="14" spans="1:8" ht="32.25" customHeight="1">
      <c r="A14" s="23" t="s">
        <v>11</v>
      </c>
      <c r="B14" s="2" t="s">
        <v>61</v>
      </c>
      <c r="C14" s="3" t="str">
        <f>'1-3'!A3</f>
        <v>eleqtrosamontaJo samuSaoebi</v>
      </c>
      <c r="D14" s="14"/>
      <c r="E14" s="14">
        <f>'1-3'!H66</f>
        <v>0</v>
      </c>
      <c r="F14" s="24"/>
      <c r="G14" s="24"/>
      <c r="H14" s="14">
        <f>G14+F14+E14+D14</f>
        <v>0</v>
      </c>
    </row>
    <row r="15" spans="1:8" ht="31.5" customHeight="1">
      <c r="A15" s="23" t="s">
        <v>13</v>
      </c>
      <c r="B15" s="2" t="s">
        <v>62</v>
      </c>
      <c r="C15" s="3" t="str">
        <f>'1-4'!A3</f>
        <v>gamwmendi nagebobis mowyoba</v>
      </c>
      <c r="D15" s="14">
        <f>'1-4'!H38</f>
        <v>0</v>
      </c>
      <c r="E15" s="14"/>
      <c r="F15" s="24"/>
      <c r="G15" s="24"/>
      <c r="H15" s="14">
        <f>D15</f>
        <v>0</v>
      </c>
    </row>
    <row r="16" spans="1:9" ht="25.5" customHeight="1">
      <c r="A16" s="23" t="s">
        <v>63</v>
      </c>
      <c r="B16" s="2"/>
      <c r="C16" s="5" t="s">
        <v>37</v>
      </c>
      <c r="D16" s="25">
        <f>(D12+D13+D14+D15)</f>
        <v>0</v>
      </c>
      <c r="E16" s="25">
        <f>(E12+E13+E14+E15)</f>
        <v>0</v>
      </c>
      <c r="F16" s="25"/>
      <c r="G16" s="25">
        <f>(G12+G13+G14+G15)</f>
        <v>0</v>
      </c>
      <c r="H16" s="25">
        <f>(H12+H13+H14+H15)</f>
        <v>0</v>
      </c>
      <c r="I16" s="58"/>
    </row>
    <row r="17" spans="1:8" ht="21.75" customHeight="1">
      <c r="A17" s="23" t="s">
        <v>66</v>
      </c>
      <c r="B17" s="2"/>
      <c r="C17" s="3" t="s">
        <v>60</v>
      </c>
      <c r="D17" s="14"/>
      <c r="E17" s="14"/>
      <c r="F17" s="14"/>
      <c r="G17" s="14">
        <f>H16*3%</f>
        <v>0</v>
      </c>
      <c r="H17" s="14">
        <f>H16*3%</f>
        <v>0</v>
      </c>
    </row>
    <row r="18" spans="1:9" ht="20.25" customHeight="1">
      <c r="A18" s="23" t="s">
        <v>20</v>
      </c>
      <c r="B18" s="2"/>
      <c r="C18" s="5" t="s">
        <v>37</v>
      </c>
      <c r="D18" s="25">
        <f>D16</f>
        <v>0</v>
      </c>
      <c r="E18" s="25">
        <f>E16</f>
        <v>0</v>
      </c>
      <c r="F18" s="25"/>
      <c r="G18" s="25">
        <f>SUM(G17:G17)</f>
        <v>0</v>
      </c>
      <c r="H18" s="25">
        <f>SUM(H16:H17)</f>
        <v>0</v>
      </c>
      <c r="I18" s="58"/>
    </row>
    <row r="19" spans="1:8" ht="24" customHeight="1">
      <c r="A19" s="23" t="s">
        <v>67</v>
      </c>
      <c r="B19" s="2"/>
      <c r="C19" s="3" t="s">
        <v>38</v>
      </c>
      <c r="D19" s="14"/>
      <c r="E19" s="14"/>
      <c r="F19" s="14"/>
      <c r="G19" s="14">
        <f>H18*18%</f>
        <v>0</v>
      </c>
      <c r="H19" s="14">
        <f>H18*18%</f>
        <v>0</v>
      </c>
    </row>
    <row r="20" spans="1:9" ht="33" customHeight="1">
      <c r="A20" s="23" t="s">
        <v>79</v>
      </c>
      <c r="B20" s="2"/>
      <c r="C20" s="5" t="s">
        <v>39</v>
      </c>
      <c r="D20" s="25">
        <f>SUM(D18:D19)</f>
        <v>0</v>
      </c>
      <c r="E20" s="25">
        <f>SUM(E18:E19)</f>
        <v>0</v>
      </c>
      <c r="F20" s="25"/>
      <c r="G20" s="25">
        <f>SUM(G18:G19)</f>
        <v>0</v>
      </c>
      <c r="H20" s="25">
        <f>SUM(H18:H19)</f>
        <v>0</v>
      </c>
      <c r="I20" s="58"/>
    </row>
    <row r="21" spans="1:8" ht="22.5" customHeight="1">
      <c r="A21" s="26"/>
      <c r="B21" s="27"/>
      <c r="C21" s="19"/>
      <c r="D21" s="28"/>
      <c r="E21" s="28"/>
      <c r="F21" s="28"/>
      <c r="G21" s="28"/>
      <c r="H21" s="28"/>
    </row>
  </sheetData>
  <sheetProtection/>
  <mergeCells count="11">
    <mergeCell ref="D1:H1"/>
    <mergeCell ref="A2:H2"/>
    <mergeCell ref="A3:H3"/>
    <mergeCell ref="A4:H4"/>
    <mergeCell ref="A5:H5"/>
    <mergeCell ref="A9:A10"/>
    <mergeCell ref="B9:B10"/>
    <mergeCell ref="C9:C10"/>
    <mergeCell ref="D9:H9"/>
    <mergeCell ref="A6:C6"/>
    <mergeCell ref="A7:H7"/>
  </mergeCells>
  <printOptions horizontalCentered="1"/>
  <pageMargins left="0.32" right="0.24" top="0.24" bottom="0.26" header="0.2" footer="0"/>
  <pageSetup horizontalDpi="600" verticalDpi="600" orientation="landscape" paperSize="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57"/>
  <sheetViews>
    <sheetView zoomScaleSheetLayoutView="100" zoomScalePageLayoutView="0" workbookViewId="0" topLeftCell="A1">
      <selection activeCell="A253" sqref="A253:IV253"/>
    </sheetView>
  </sheetViews>
  <sheetFormatPr defaultColWidth="9.140625" defaultRowHeight="12.75"/>
  <cols>
    <col min="1" max="1" width="4.7109375" style="129" customWidth="1"/>
    <col min="2" max="2" width="12.28125" style="93" customWidth="1"/>
    <col min="3" max="3" width="36.140625" style="126" customWidth="1"/>
    <col min="4" max="4" width="9.140625" style="126" customWidth="1"/>
    <col min="5" max="5" width="8.7109375" style="126" customWidth="1"/>
    <col min="6" max="6" width="9.8515625" style="126" customWidth="1"/>
    <col min="7" max="7" width="9.140625" style="60" customWidth="1"/>
    <col min="8" max="8" width="11.421875" style="98" customWidth="1"/>
    <col min="9" max="9" width="9.140625" style="126" customWidth="1"/>
    <col min="10" max="10" width="4.421875" style="126" customWidth="1"/>
    <col min="11" max="13" width="9.140625" style="126" customWidth="1"/>
    <col min="14" max="14" width="11.8515625" style="126" bestFit="1" customWidth="1"/>
    <col min="15" max="16" width="9.140625" style="126" customWidth="1"/>
    <col min="17" max="17" width="10.57421875" style="126" bestFit="1" customWidth="1"/>
    <col min="18" max="16384" width="9.140625" style="126" customWidth="1"/>
  </cols>
  <sheetData>
    <row r="1" spans="1:8" ht="15.75">
      <c r="A1" s="202" t="s">
        <v>56</v>
      </c>
      <c r="B1" s="202"/>
      <c r="C1" s="202"/>
      <c r="D1" s="202"/>
      <c r="E1" s="202"/>
      <c r="F1" s="202"/>
      <c r="G1" s="202"/>
      <c r="H1" s="202"/>
    </row>
    <row r="2" spans="1:8" ht="33.75" customHeight="1">
      <c r="A2" s="203" t="str">
        <f>NAKREBI!A5</f>
        <v>onis municipalitetis sof Rebis sajaro skolis Senobis reabilitacia</v>
      </c>
      <c r="B2" s="203"/>
      <c r="C2" s="203"/>
      <c r="D2" s="203"/>
      <c r="E2" s="203"/>
      <c r="F2" s="203"/>
      <c r="G2" s="203"/>
      <c r="H2" s="203"/>
    </row>
    <row r="3" spans="1:8" ht="15.75">
      <c r="A3" s="202" t="s">
        <v>0</v>
      </c>
      <c r="B3" s="202"/>
      <c r="C3" s="202"/>
      <c r="D3" s="202"/>
      <c r="E3" s="202"/>
      <c r="F3" s="202"/>
      <c r="G3" s="202"/>
      <c r="H3" s="202"/>
    </row>
    <row r="4" spans="1:8" ht="15.75">
      <c r="A4" s="126"/>
      <c r="B4" s="129"/>
      <c r="H4" s="126"/>
    </row>
    <row r="5" spans="1:8" ht="15.75">
      <c r="A5" s="204">
        <f>NAKREBI!A7</f>
        <v>0</v>
      </c>
      <c r="B5" s="204"/>
      <c r="C5" s="204"/>
      <c r="D5" s="204"/>
      <c r="E5" s="204"/>
      <c r="F5" s="204"/>
      <c r="G5" s="204"/>
      <c r="H5" s="204"/>
    </row>
    <row r="6" spans="1:8" ht="36" customHeight="1">
      <c r="A6" s="207" t="s">
        <v>1</v>
      </c>
      <c r="B6" s="207" t="s">
        <v>2</v>
      </c>
      <c r="C6" s="209" t="s">
        <v>3</v>
      </c>
      <c r="D6" s="209" t="s">
        <v>4</v>
      </c>
      <c r="E6" s="205" t="s">
        <v>5</v>
      </c>
      <c r="F6" s="206"/>
      <c r="G6" s="205" t="s">
        <v>40</v>
      </c>
      <c r="H6" s="206"/>
    </row>
    <row r="7" spans="1:8" ht="73.5" customHeight="1">
      <c r="A7" s="208"/>
      <c r="B7" s="208"/>
      <c r="C7" s="210"/>
      <c r="D7" s="210"/>
      <c r="E7" s="62" t="s">
        <v>6</v>
      </c>
      <c r="F7" s="62" t="s">
        <v>7</v>
      </c>
      <c r="G7" s="63" t="s">
        <v>6</v>
      </c>
      <c r="H7" s="64" t="s">
        <v>7</v>
      </c>
    </row>
    <row r="8" spans="1:8" s="127" customFormat="1" ht="13.5">
      <c r="A8" s="65" t="s">
        <v>8</v>
      </c>
      <c r="B8" s="65">
        <v>2</v>
      </c>
      <c r="C8" s="66">
        <v>3</v>
      </c>
      <c r="D8" s="66">
        <v>4</v>
      </c>
      <c r="E8" s="66">
        <v>5</v>
      </c>
      <c r="F8" s="66">
        <v>6</v>
      </c>
      <c r="G8" s="67">
        <v>7</v>
      </c>
      <c r="H8" s="68">
        <v>8</v>
      </c>
    </row>
    <row r="9" spans="1:8" s="127" customFormat="1" ht="15.75">
      <c r="A9" s="65"/>
      <c r="B9" s="65"/>
      <c r="C9" s="70" t="s">
        <v>211</v>
      </c>
      <c r="D9" s="66"/>
      <c r="E9" s="66"/>
      <c r="F9" s="66"/>
      <c r="G9" s="67"/>
      <c r="H9" s="68"/>
    </row>
    <row r="10" spans="1:8" s="111" customFormat="1" ht="27">
      <c r="A10" s="131">
        <v>1</v>
      </c>
      <c r="B10" s="132" t="s">
        <v>214</v>
      </c>
      <c r="C10" s="132" t="s">
        <v>213</v>
      </c>
      <c r="D10" s="132" t="s">
        <v>215</v>
      </c>
      <c r="E10" s="133"/>
      <c r="F10" s="134">
        <f>1.8*1.3*0.6+1.8*0.6*2.5</f>
        <v>4.104</v>
      </c>
      <c r="G10" s="131"/>
      <c r="H10" s="135"/>
    </row>
    <row r="11" spans="1:8" s="111" customFormat="1" ht="13.5">
      <c r="A11" s="86"/>
      <c r="B11" s="82"/>
      <c r="C11" s="66" t="s">
        <v>216</v>
      </c>
      <c r="D11" s="66" t="s">
        <v>217</v>
      </c>
      <c r="E11" s="85">
        <v>10.2</v>
      </c>
      <c r="F11" s="130">
        <f>E11*F10</f>
        <v>41.8608</v>
      </c>
      <c r="G11" s="130"/>
      <c r="H11" s="89"/>
    </row>
    <row r="12" spans="1:8" s="111" customFormat="1" ht="13.5">
      <c r="A12" s="86"/>
      <c r="B12" s="82"/>
      <c r="C12" s="66" t="s">
        <v>218</v>
      </c>
      <c r="D12" s="66" t="s">
        <v>51</v>
      </c>
      <c r="E12" s="85">
        <v>7.99</v>
      </c>
      <c r="F12" s="67">
        <f>E12*F10</f>
        <v>32.79096</v>
      </c>
      <c r="G12" s="89"/>
      <c r="H12" s="89"/>
    </row>
    <row r="13" spans="1:8" s="127" customFormat="1" ht="40.5">
      <c r="A13" s="136" t="s">
        <v>41</v>
      </c>
      <c r="B13" s="137" t="s">
        <v>221</v>
      </c>
      <c r="C13" s="132" t="s">
        <v>389</v>
      </c>
      <c r="D13" s="132" t="s">
        <v>57</v>
      </c>
      <c r="E13" s="138"/>
      <c r="F13" s="134">
        <f>900.9+106.3</f>
        <v>1007.1999999999999</v>
      </c>
      <c r="G13" s="134"/>
      <c r="H13" s="134"/>
    </row>
    <row r="14" spans="1:8" s="127" customFormat="1" ht="13.5">
      <c r="A14" s="77"/>
      <c r="B14" s="71"/>
      <c r="C14" s="66" t="s">
        <v>42</v>
      </c>
      <c r="D14" s="66" t="s">
        <v>10</v>
      </c>
      <c r="E14" s="84">
        <v>0.289</v>
      </c>
      <c r="F14" s="84">
        <f>F13*E14</f>
        <v>291.08079999999995</v>
      </c>
      <c r="G14" s="67"/>
      <c r="H14" s="79"/>
    </row>
    <row r="15" spans="1:8" ht="15.75">
      <c r="A15" s="80"/>
      <c r="B15" s="83"/>
      <c r="C15" s="66" t="s">
        <v>78</v>
      </c>
      <c r="D15" s="66" t="s">
        <v>23</v>
      </c>
      <c r="E15" s="84">
        <v>0.0628</v>
      </c>
      <c r="F15" s="84">
        <f>E15*F13</f>
        <v>63.25215999999999</v>
      </c>
      <c r="G15" s="67"/>
      <c r="H15" s="79"/>
    </row>
    <row r="16" spans="1:8" s="127" customFormat="1" ht="40.5">
      <c r="A16" s="136" t="s">
        <v>11</v>
      </c>
      <c r="B16" s="137" t="s">
        <v>223</v>
      </c>
      <c r="C16" s="132" t="s">
        <v>222</v>
      </c>
      <c r="D16" s="132" t="s">
        <v>57</v>
      </c>
      <c r="E16" s="138"/>
      <c r="F16" s="134">
        <f>2.4*1.4*17+2.4*8+2.4*3.1*2+1.45*2.25*8</f>
        <v>117.29999999999998</v>
      </c>
      <c r="G16" s="134"/>
      <c r="H16" s="134"/>
    </row>
    <row r="17" spans="1:8" s="127" customFormat="1" ht="13.5">
      <c r="A17" s="77"/>
      <c r="B17" s="71"/>
      <c r="C17" s="66" t="s">
        <v>42</v>
      </c>
      <c r="D17" s="66" t="s">
        <v>10</v>
      </c>
      <c r="E17" s="84">
        <v>0.289</v>
      </c>
      <c r="F17" s="84">
        <f>F16*E17</f>
        <v>33.899699999999996</v>
      </c>
      <c r="G17" s="67"/>
      <c r="H17" s="79"/>
    </row>
    <row r="18" spans="1:8" ht="15.75">
      <c r="A18" s="80"/>
      <c r="B18" s="83"/>
      <c r="C18" s="66" t="s">
        <v>78</v>
      </c>
      <c r="D18" s="66" t="s">
        <v>23</v>
      </c>
      <c r="E18" s="84">
        <v>0.0628</v>
      </c>
      <c r="F18" s="84">
        <f>E18*F16</f>
        <v>7.366439999999998</v>
      </c>
      <c r="G18" s="67"/>
      <c r="H18" s="79"/>
    </row>
    <row r="19" spans="1:8" s="127" customFormat="1" ht="54">
      <c r="A19" s="136" t="s">
        <v>13</v>
      </c>
      <c r="B19" s="137" t="s">
        <v>221</v>
      </c>
      <c r="C19" s="132" t="s">
        <v>390</v>
      </c>
      <c r="D19" s="132" t="s">
        <v>57</v>
      </c>
      <c r="E19" s="138"/>
      <c r="F19" s="134">
        <v>80</v>
      </c>
      <c r="G19" s="134"/>
      <c r="H19" s="134"/>
    </row>
    <row r="20" spans="1:8" s="127" customFormat="1" ht="13.5">
      <c r="A20" s="77"/>
      <c r="B20" s="71"/>
      <c r="C20" s="66" t="s">
        <v>42</v>
      </c>
      <c r="D20" s="66" t="s">
        <v>10</v>
      </c>
      <c r="E20" s="84">
        <v>0.289</v>
      </c>
      <c r="F20" s="84">
        <f>F19*E20</f>
        <v>23.119999999999997</v>
      </c>
      <c r="G20" s="67"/>
      <c r="H20" s="79"/>
    </row>
    <row r="21" spans="1:8" ht="15.75">
      <c r="A21" s="80"/>
      <c r="B21" s="83"/>
      <c r="C21" s="66" t="s">
        <v>78</v>
      </c>
      <c r="D21" s="66" t="s">
        <v>23</v>
      </c>
      <c r="E21" s="84">
        <v>0.0628</v>
      </c>
      <c r="F21" s="84">
        <f>E21*F19</f>
        <v>5.023999999999999</v>
      </c>
      <c r="G21" s="67"/>
      <c r="H21" s="79"/>
    </row>
    <row r="22" spans="1:8" s="127" customFormat="1" ht="27">
      <c r="A22" s="136" t="s">
        <v>202</v>
      </c>
      <c r="B22" s="137" t="s">
        <v>248</v>
      </c>
      <c r="C22" s="132" t="s">
        <v>330</v>
      </c>
      <c r="D22" s="132" t="s">
        <v>21</v>
      </c>
      <c r="E22" s="138"/>
      <c r="F22" s="134">
        <f>24*2</f>
        <v>48</v>
      </c>
      <c r="G22" s="134"/>
      <c r="H22" s="134"/>
    </row>
    <row r="23" spans="1:8" s="127" customFormat="1" ht="13.5">
      <c r="A23" s="77"/>
      <c r="B23" s="71"/>
      <c r="C23" s="66" t="s">
        <v>42</v>
      </c>
      <c r="D23" s="66" t="s">
        <v>21</v>
      </c>
      <c r="E23" s="67">
        <v>1</v>
      </c>
      <c r="F23" s="84">
        <f>F22*E23</f>
        <v>48</v>
      </c>
      <c r="G23" s="67"/>
      <c r="H23" s="79"/>
    </row>
    <row r="24" spans="1:8" s="76" customFormat="1" ht="38.25">
      <c r="A24" s="137">
        <v>6</v>
      </c>
      <c r="B24" s="137" t="s">
        <v>249</v>
      </c>
      <c r="C24" s="137" t="s">
        <v>250</v>
      </c>
      <c r="D24" s="137" t="s">
        <v>57</v>
      </c>
      <c r="E24" s="147"/>
      <c r="F24" s="134">
        <f>F150*100+1000</f>
        <v>1500</v>
      </c>
      <c r="G24" s="148"/>
      <c r="H24" s="134"/>
    </row>
    <row r="25" spans="1:8" s="127" customFormat="1" ht="13.5">
      <c r="A25" s="77"/>
      <c r="B25" s="77"/>
      <c r="C25" s="66" t="s">
        <v>42</v>
      </c>
      <c r="D25" s="66" t="s">
        <v>10</v>
      </c>
      <c r="E25" s="84">
        <v>0.186</v>
      </c>
      <c r="F25" s="84">
        <f>E25*F24</f>
        <v>279</v>
      </c>
      <c r="G25" s="67"/>
      <c r="H25" s="79"/>
    </row>
    <row r="26" spans="1:8" s="127" customFormat="1" ht="13.5">
      <c r="A26" s="77"/>
      <c r="B26" s="77"/>
      <c r="C26" s="66" t="s">
        <v>76</v>
      </c>
      <c r="D26" s="66" t="s">
        <v>57</v>
      </c>
      <c r="E26" s="84">
        <v>0.0016</v>
      </c>
      <c r="F26" s="84">
        <f>F24*E26</f>
        <v>2.4</v>
      </c>
      <c r="G26" s="67"/>
      <c r="H26" s="79"/>
    </row>
    <row r="27" spans="1:8" s="127" customFormat="1" ht="15.75">
      <c r="A27" s="65"/>
      <c r="B27" s="65"/>
      <c r="C27" s="70" t="s">
        <v>44</v>
      </c>
      <c r="D27" s="66"/>
      <c r="E27" s="66"/>
      <c r="F27" s="66"/>
      <c r="G27" s="67"/>
      <c r="H27" s="68"/>
    </row>
    <row r="28" spans="1:8" s="139" customFormat="1" ht="54">
      <c r="A28" s="142">
        <v>7</v>
      </c>
      <c r="B28" s="132" t="s">
        <v>224</v>
      </c>
      <c r="C28" s="136" t="s">
        <v>232</v>
      </c>
      <c r="D28" s="132" t="s">
        <v>225</v>
      </c>
      <c r="E28" s="132"/>
      <c r="F28" s="134">
        <f>1.5*0.2*1+1.2*0.7*0.2*2+4.8*0.2*0.77+0.54*0.2*1.5+0.37*0.2*4.8+0.8*1.8*0.1+1.2*0.1*1.8+1.5*0.88*0.2+0.9*0.53*2*0.2+3.45*0.2*0.45*3.45</f>
        <v>3.7784250000000004</v>
      </c>
      <c r="G28" s="134"/>
      <c r="H28" s="143"/>
    </row>
    <row r="29" spans="1:8" s="139" customFormat="1" ht="18" customHeight="1">
      <c r="A29" s="140"/>
      <c r="B29" s="66"/>
      <c r="C29" s="65" t="s">
        <v>226</v>
      </c>
      <c r="D29" s="85" t="s">
        <v>10</v>
      </c>
      <c r="E29" s="66">
        <v>2.76</v>
      </c>
      <c r="F29" s="66">
        <f>E29*F28</f>
        <v>10.428453000000001</v>
      </c>
      <c r="G29" s="67"/>
      <c r="H29" s="141"/>
    </row>
    <row r="30" spans="1:8" s="139" customFormat="1" ht="16.5" customHeight="1">
      <c r="A30" s="140"/>
      <c r="B30" s="66"/>
      <c r="C30" s="85" t="s">
        <v>76</v>
      </c>
      <c r="D30" s="67" t="s">
        <v>51</v>
      </c>
      <c r="E30" s="66">
        <v>0.7</v>
      </c>
      <c r="F30" s="67">
        <f>E30*F28</f>
        <v>2.6448975</v>
      </c>
      <c r="G30" s="67"/>
      <c r="H30" s="141"/>
    </row>
    <row r="31" spans="1:8" s="139" customFormat="1" ht="16.5" customHeight="1">
      <c r="A31" s="140"/>
      <c r="B31" s="66"/>
      <c r="C31" s="66" t="s">
        <v>233</v>
      </c>
      <c r="D31" s="66" t="s">
        <v>225</v>
      </c>
      <c r="E31" s="66">
        <v>1.02</v>
      </c>
      <c r="F31" s="67">
        <f>E31*F28</f>
        <v>3.8539935000000005</v>
      </c>
      <c r="G31" s="141"/>
      <c r="H31" s="141"/>
    </row>
    <row r="32" spans="1:8" s="139" customFormat="1" ht="16.5" customHeight="1">
      <c r="A32" s="140"/>
      <c r="B32" s="66"/>
      <c r="C32" s="65" t="s">
        <v>227</v>
      </c>
      <c r="D32" s="85" t="s">
        <v>228</v>
      </c>
      <c r="E32" s="85">
        <v>0.85</v>
      </c>
      <c r="F32" s="67">
        <f>F28*E32</f>
        <v>3.21166125</v>
      </c>
      <c r="G32" s="67"/>
      <c r="H32" s="141"/>
    </row>
    <row r="33" spans="1:8" s="139" customFormat="1" ht="16.5" customHeight="1">
      <c r="A33" s="140"/>
      <c r="B33" s="66"/>
      <c r="C33" s="65" t="s">
        <v>229</v>
      </c>
      <c r="D33" s="66" t="s">
        <v>225</v>
      </c>
      <c r="E33" s="85">
        <v>0.0091</v>
      </c>
      <c r="F33" s="67">
        <f>E33*F28</f>
        <v>0.034383667500000006</v>
      </c>
      <c r="G33" s="67"/>
      <c r="H33" s="141"/>
    </row>
    <row r="34" spans="1:8" s="139" customFormat="1" ht="16.5" customHeight="1">
      <c r="A34" s="140"/>
      <c r="B34" s="66"/>
      <c r="C34" s="66" t="s">
        <v>234</v>
      </c>
      <c r="D34" s="66" t="s">
        <v>96</v>
      </c>
      <c r="E34" s="85" t="s">
        <v>230</v>
      </c>
      <c r="F34" s="67">
        <v>365.43</v>
      </c>
      <c r="G34" s="67"/>
      <c r="H34" s="141"/>
    </row>
    <row r="35" spans="1:8" s="139" customFormat="1" ht="17.25" customHeight="1">
      <c r="A35" s="140"/>
      <c r="B35" s="66"/>
      <c r="C35" s="66" t="s">
        <v>231</v>
      </c>
      <c r="D35" s="66" t="s">
        <v>51</v>
      </c>
      <c r="E35" s="66">
        <v>0.18</v>
      </c>
      <c r="F35" s="67">
        <f>E35*F28</f>
        <v>0.6801165</v>
      </c>
      <c r="G35" s="67"/>
      <c r="H35" s="141"/>
    </row>
    <row r="36" spans="1:8" s="127" customFormat="1" ht="27">
      <c r="A36" s="136" t="s">
        <v>16</v>
      </c>
      <c r="B36" s="137" t="s">
        <v>235</v>
      </c>
      <c r="C36" s="132" t="s">
        <v>236</v>
      </c>
      <c r="D36" s="132" t="s">
        <v>12</v>
      </c>
      <c r="E36" s="138"/>
      <c r="F36" s="138">
        <f>4.6+1.8+0.77+7.63+5.76+1.17</f>
        <v>21.730000000000004</v>
      </c>
      <c r="G36" s="134"/>
      <c r="H36" s="134"/>
    </row>
    <row r="37" spans="1:8" s="127" customFormat="1" ht="13.5">
      <c r="A37" s="90"/>
      <c r="B37" s="71"/>
      <c r="C37" s="66" t="s">
        <v>42</v>
      </c>
      <c r="D37" s="66" t="s">
        <v>10</v>
      </c>
      <c r="E37" s="84">
        <v>3.16</v>
      </c>
      <c r="F37" s="84">
        <f>E37*F36</f>
        <v>68.66680000000001</v>
      </c>
      <c r="G37" s="67"/>
      <c r="H37" s="79"/>
    </row>
    <row r="38" spans="1:8" s="127" customFormat="1" ht="13.5">
      <c r="A38" s="90"/>
      <c r="B38" s="71"/>
      <c r="C38" s="66" t="s">
        <v>237</v>
      </c>
      <c r="D38" s="66" t="s">
        <v>12</v>
      </c>
      <c r="E38" s="84">
        <v>1.25</v>
      </c>
      <c r="F38" s="84">
        <f>E38*F36</f>
        <v>27.162500000000005</v>
      </c>
      <c r="G38" s="67"/>
      <c r="H38" s="79"/>
    </row>
    <row r="39" spans="1:8" s="127" customFormat="1" ht="13.5">
      <c r="A39" s="90"/>
      <c r="B39" s="71"/>
      <c r="C39" s="66" t="s">
        <v>19</v>
      </c>
      <c r="D39" s="66" t="s">
        <v>23</v>
      </c>
      <c r="E39" s="84">
        <v>0.01</v>
      </c>
      <c r="F39" s="84">
        <f>E39*F36</f>
        <v>0.21730000000000005</v>
      </c>
      <c r="G39" s="67"/>
      <c r="H39" s="79"/>
    </row>
    <row r="40" spans="1:8" s="127" customFormat="1" ht="13.5">
      <c r="A40" s="90"/>
      <c r="B40" s="71"/>
      <c r="C40" s="66" t="s">
        <v>238</v>
      </c>
      <c r="D40" s="66" t="s">
        <v>190</v>
      </c>
      <c r="E40" s="84">
        <v>0.112</v>
      </c>
      <c r="F40" s="84">
        <f>F36*E40</f>
        <v>2.4337600000000004</v>
      </c>
      <c r="G40" s="67"/>
      <c r="H40" s="79"/>
    </row>
    <row r="41" spans="1:8" s="111" customFormat="1" ht="27">
      <c r="A41" s="85"/>
      <c r="B41" s="144"/>
      <c r="C41" s="66" t="s">
        <v>239</v>
      </c>
      <c r="D41" s="66" t="s">
        <v>220</v>
      </c>
      <c r="E41" s="85" t="s">
        <v>240</v>
      </c>
      <c r="F41" s="67">
        <f>F38*1.6</f>
        <v>43.46000000000001</v>
      </c>
      <c r="G41" s="85"/>
      <c r="H41" s="88"/>
    </row>
    <row r="42" spans="1:8" s="127" customFormat="1" ht="40.5">
      <c r="A42" s="136" t="s">
        <v>66</v>
      </c>
      <c r="B42" s="145" t="s">
        <v>241</v>
      </c>
      <c r="C42" s="132" t="s">
        <v>247</v>
      </c>
      <c r="D42" s="132" t="s">
        <v>73</v>
      </c>
      <c r="E42" s="138"/>
      <c r="F42" s="146">
        <f>(15+7.9+6.5)*0.1/100</f>
        <v>0.0294</v>
      </c>
      <c r="G42" s="134"/>
      <c r="H42" s="134"/>
    </row>
    <row r="43" spans="1:8" s="127" customFormat="1" ht="13.5">
      <c r="A43" s="90"/>
      <c r="B43" s="77"/>
      <c r="C43" s="66" t="s">
        <v>47</v>
      </c>
      <c r="D43" s="66" t="s">
        <v>10</v>
      </c>
      <c r="E43" s="84">
        <v>187</v>
      </c>
      <c r="F43" s="84">
        <f>E43*F42</f>
        <v>5.4978</v>
      </c>
      <c r="G43" s="67"/>
      <c r="H43" s="79"/>
    </row>
    <row r="44" spans="1:8" s="76" customFormat="1" ht="13.5">
      <c r="A44" s="90"/>
      <c r="B44" s="77"/>
      <c r="C44" s="66" t="s">
        <v>49</v>
      </c>
      <c r="D44" s="66" t="s">
        <v>23</v>
      </c>
      <c r="E44" s="84">
        <v>77</v>
      </c>
      <c r="F44" s="84">
        <f>F42*E44</f>
        <v>2.2638</v>
      </c>
      <c r="G44" s="67"/>
      <c r="H44" s="79"/>
    </row>
    <row r="45" spans="1:8" s="76" customFormat="1" ht="13.5">
      <c r="A45" s="90"/>
      <c r="B45" s="77"/>
      <c r="C45" s="66" t="s">
        <v>75</v>
      </c>
      <c r="D45" s="66" t="s">
        <v>12</v>
      </c>
      <c r="E45" s="84">
        <v>101.5</v>
      </c>
      <c r="F45" s="84">
        <f>E45*F42</f>
        <v>2.9840999999999998</v>
      </c>
      <c r="G45" s="67"/>
      <c r="H45" s="79"/>
    </row>
    <row r="46" spans="1:8" s="76" customFormat="1" ht="13.5">
      <c r="A46" s="90"/>
      <c r="B46" s="77"/>
      <c r="C46" s="66" t="s">
        <v>243</v>
      </c>
      <c r="D46" s="66" t="s">
        <v>18</v>
      </c>
      <c r="E46" s="84">
        <v>7.54</v>
      </c>
      <c r="F46" s="84">
        <f>F42*E46</f>
        <v>0.22167599999999998</v>
      </c>
      <c r="G46" s="67"/>
      <c r="H46" s="79"/>
    </row>
    <row r="47" spans="1:8" ht="15.75">
      <c r="A47" s="85"/>
      <c r="B47" s="85"/>
      <c r="C47" s="66" t="s">
        <v>234</v>
      </c>
      <c r="D47" s="85" t="s">
        <v>96</v>
      </c>
      <c r="E47" s="85" t="s">
        <v>172</v>
      </c>
      <c r="F47" s="85">
        <v>244.68</v>
      </c>
      <c r="G47" s="67"/>
      <c r="H47" s="88"/>
    </row>
    <row r="48" spans="1:8" s="127" customFormat="1" ht="13.5">
      <c r="A48" s="90"/>
      <c r="B48" s="77"/>
      <c r="C48" s="66" t="s">
        <v>246</v>
      </c>
      <c r="D48" s="66" t="s">
        <v>12</v>
      </c>
      <c r="E48" s="84">
        <v>0.08</v>
      </c>
      <c r="F48" s="84">
        <f>F43*E48</f>
        <v>0.439824</v>
      </c>
      <c r="G48" s="85"/>
      <c r="H48" s="79"/>
    </row>
    <row r="49" spans="1:8" s="127" customFormat="1" ht="13.5">
      <c r="A49" s="90"/>
      <c r="B49" s="77"/>
      <c r="C49" s="66" t="s">
        <v>19</v>
      </c>
      <c r="D49" s="66" t="s">
        <v>23</v>
      </c>
      <c r="E49" s="84">
        <v>7</v>
      </c>
      <c r="F49" s="84">
        <f>F43*E49</f>
        <v>38.4846</v>
      </c>
      <c r="G49" s="67"/>
      <c r="H49" s="79"/>
    </row>
    <row r="50" spans="1:8" s="127" customFormat="1" ht="27">
      <c r="A50" s="136" t="s">
        <v>20</v>
      </c>
      <c r="B50" s="137" t="s">
        <v>235</v>
      </c>
      <c r="C50" s="132" t="s">
        <v>236</v>
      </c>
      <c r="D50" s="132" t="s">
        <v>12</v>
      </c>
      <c r="E50" s="138"/>
      <c r="F50" s="138">
        <f>0.2*12*2+34.6*1.1</f>
        <v>42.86</v>
      </c>
      <c r="G50" s="134"/>
      <c r="H50" s="134"/>
    </row>
    <row r="51" spans="1:8" s="127" customFormat="1" ht="13.5">
      <c r="A51" s="90"/>
      <c r="B51" s="71"/>
      <c r="C51" s="66" t="s">
        <v>42</v>
      </c>
      <c r="D51" s="66" t="s">
        <v>10</v>
      </c>
      <c r="E51" s="84">
        <v>3.16</v>
      </c>
      <c r="F51" s="84">
        <f>E51*F50</f>
        <v>135.4376</v>
      </c>
      <c r="G51" s="67"/>
      <c r="H51" s="79"/>
    </row>
    <row r="52" spans="1:8" s="127" customFormat="1" ht="13.5">
      <c r="A52" s="90"/>
      <c r="B52" s="71"/>
      <c r="C52" s="66" t="s">
        <v>237</v>
      </c>
      <c r="D52" s="66" t="s">
        <v>12</v>
      </c>
      <c r="E52" s="84">
        <v>1.25</v>
      </c>
      <c r="F52" s="84">
        <f>E52*F50</f>
        <v>53.575</v>
      </c>
      <c r="G52" s="67"/>
      <c r="H52" s="79"/>
    </row>
    <row r="53" spans="1:8" s="127" customFormat="1" ht="13.5">
      <c r="A53" s="90"/>
      <c r="B53" s="71"/>
      <c r="C53" s="66" t="s">
        <v>19</v>
      </c>
      <c r="D53" s="66" t="s">
        <v>23</v>
      </c>
      <c r="E53" s="84">
        <v>0.01</v>
      </c>
      <c r="F53" s="84">
        <f>E53*F50</f>
        <v>0.4286</v>
      </c>
      <c r="G53" s="67"/>
      <c r="H53" s="79"/>
    </row>
    <row r="54" spans="1:8" s="127" customFormat="1" ht="13.5">
      <c r="A54" s="90"/>
      <c r="B54" s="71"/>
      <c r="C54" s="66" t="s">
        <v>238</v>
      </c>
      <c r="D54" s="66" t="s">
        <v>190</v>
      </c>
      <c r="E54" s="84">
        <v>0.112</v>
      </c>
      <c r="F54" s="84">
        <f>F50*E54</f>
        <v>4.80032</v>
      </c>
      <c r="G54" s="67"/>
      <c r="H54" s="79"/>
    </row>
    <row r="55" spans="1:8" s="111" customFormat="1" ht="27">
      <c r="A55" s="85"/>
      <c r="B55" s="144"/>
      <c r="C55" s="66" t="s">
        <v>239</v>
      </c>
      <c r="D55" s="66" t="s">
        <v>220</v>
      </c>
      <c r="E55" s="85" t="s">
        <v>240</v>
      </c>
      <c r="F55" s="67">
        <f>F52*1.6</f>
        <v>85.72000000000001</v>
      </c>
      <c r="G55" s="85"/>
      <c r="H55" s="88"/>
    </row>
    <row r="56" spans="1:8" s="127" customFormat="1" ht="27">
      <c r="A56" s="136" t="s">
        <v>67</v>
      </c>
      <c r="B56" s="145" t="s">
        <v>241</v>
      </c>
      <c r="C56" s="132" t="s">
        <v>242</v>
      </c>
      <c r="D56" s="132" t="s">
        <v>73</v>
      </c>
      <c r="E56" s="138"/>
      <c r="F56" s="146">
        <f>8/100</f>
        <v>0.08</v>
      </c>
      <c r="G56" s="134"/>
      <c r="H56" s="134"/>
    </row>
    <row r="57" spans="1:8" s="127" customFormat="1" ht="13.5">
      <c r="A57" s="90"/>
      <c r="B57" s="77"/>
      <c r="C57" s="66" t="s">
        <v>47</v>
      </c>
      <c r="D57" s="66" t="s">
        <v>10</v>
      </c>
      <c r="E57" s="84">
        <v>187</v>
      </c>
      <c r="F57" s="84">
        <f>E57*F56</f>
        <v>14.96</v>
      </c>
      <c r="G57" s="67"/>
      <c r="H57" s="79"/>
    </row>
    <row r="58" spans="1:8" s="76" customFormat="1" ht="13.5">
      <c r="A58" s="90"/>
      <c r="B58" s="77"/>
      <c r="C58" s="66" t="s">
        <v>49</v>
      </c>
      <c r="D58" s="66" t="s">
        <v>23</v>
      </c>
      <c r="E58" s="84">
        <v>77</v>
      </c>
      <c r="F58" s="84">
        <f>F56*E58</f>
        <v>6.16</v>
      </c>
      <c r="G58" s="67"/>
      <c r="H58" s="79"/>
    </row>
    <row r="59" spans="1:8" s="76" customFormat="1" ht="13.5">
      <c r="A59" s="90"/>
      <c r="B59" s="77"/>
      <c r="C59" s="66" t="s">
        <v>75</v>
      </c>
      <c r="D59" s="66" t="s">
        <v>12</v>
      </c>
      <c r="E59" s="84">
        <v>101.5</v>
      </c>
      <c r="F59" s="84">
        <f>E59*F56</f>
        <v>8.120000000000001</v>
      </c>
      <c r="G59" s="67"/>
      <c r="H59" s="79"/>
    </row>
    <row r="60" spans="1:8" s="76" customFormat="1" ht="13.5">
      <c r="A60" s="90"/>
      <c r="B60" s="77"/>
      <c r="C60" s="66" t="s">
        <v>243</v>
      </c>
      <c r="D60" s="66" t="s">
        <v>18</v>
      </c>
      <c r="E60" s="84">
        <v>7.54</v>
      </c>
      <c r="F60" s="84">
        <f>F56*E60</f>
        <v>0.6032000000000001</v>
      </c>
      <c r="G60" s="67"/>
      <c r="H60" s="79"/>
    </row>
    <row r="61" spans="1:8" s="76" customFormat="1" ht="13.5">
      <c r="A61" s="90"/>
      <c r="B61" s="77"/>
      <c r="C61" s="66" t="s">
        <v>244</v>
      </c>
      <c r="D61" s="66" t="s">
        <v>57</v>
      </c>
      <c r="E61" s="85" t="s">
        <v>172</v>
      </c>
      <c r="F61" s="67">
        <v>106.3</v>
      </c>
      <c r="G61" s="67"/>
      <c r="H61" s="79"/>
    </row>
    <row r="62" spans="1:8" ht="15.75">
      <c r="A62" s="85"/>
      <c r="B62" s="85"/>
      <c r="C62" s="66" t="s">
        <v>245</v>
      </c>
      <c r="D62" s="85" t="s">
        <v>96</v>
      </c>
      <c r="E62" s="85" t="s">
        <v>172</v>
      </c>
      <c r="F62" s="85">
        <f>F56*10*100</f>
        <v>80</v>
      </c>
      <c r="G62" s="85"/>
      <c r="H62" s="88"/>
    </row>
    <row r="63" spans="1:8" s="127" customFormat="1" ht="13.5">
      <c r="A63" s="90"/>
      <c r="B63" s="77"/>
      <c r="C63" s="66" t="s">
        <v>246</v>
      </c>
      <c r="D63" s="66" t="s">
        <v>12</v>
      </c>
      <c r="E63" s="84">
        <v>0.08</v>
      </c>
      <c r="F63" s="84">
        <f>F57*E63</f>
        <v>1.1968</v>
      </c>
      <c r="G63" s="85"/>
      <c r="H63" s="79"/>
    </row>
    <row r="64" spans="1:8" s="127" customFormat="1" ht="13.5">
      <c r="A64" s="90"/>
      <c r="B64" s="77"/>
      <c r="C64" s="66" t="s">
        <v>19</v>
      </c>
      <c r="D64" s="66" t="s">
        <v>23</v>
      </c>
      <c r="E64" s="84">
        <v>7</v>
      </c>
      <c r="F64" s="84">
        <f>F57*E64</f>
        <v>104.72</v>
      </c>
      <c r="G64" s="67"/>
      <c r="H64" s="79"/>
    </row>
    <row r="65" spans="1:8" s="111" customFormat="1" ht="40.5">
      <c r="A65" s="131">
        <v>12</v>
      </c>
      <c r="B65" s="153" t="s">
        <v>256</v>
      </c>
      <c r="C65" s="132" t="s">
        <v>268</v>
      </c>
      <c r="D65" s="131" t="s">
        <v>257</v>
      </c>
      <c r="E65" s="131"/>
      <c r="F65" s="154">
        <v>4</v>
      </c>
      <c r="G65" s="131"/>
      <c r="H65" s="150"/>
    </row>
    <row r="66" spans="1:8" ht="15.75">
      <c r="A66" s="80"/>
      <c r="B66" s="83"/>
      <c r="C66" s="151" t="s">
        <v>212</v>
      </c>
      <c r="D66" s="151" t="s">
        <v>258</v>
      </c>
      <c r="E66" s="151">
        <v>23.8</v>
      </c>
      <c r="F66" s="152">
        <f>E66*F65</f>
        <v>95.2</v>
      </c>
      <c r="G66" s="67"/>
      <c r="H66" s="67"/>
    </row>
    <row r="67" spans="1:8" ht="15.75">
      <c r="A67" s="80"/>
      <c r="B67" s="83"/>
      <c r="C67" s="151" t="s">
        <v>259</v>
      </c>
      <c r="D67" s="151" t="s">
        <v>23</v>
      </c>
      <c r="E67" s="151">
        <v>2.1</v>
      </c>
      <c r="F67" s="152">
        <f>E67*F65</f>
        <v>8.4</v>
      </c>
      <c r="G67" s="67"/>
      <c r="H67" s="67"/>
    </row>
    <row r="68" spans="1:8" ht="15.75">
      <c r="A68" s="80"/>
      <c r="B68" s="77" t="s">
        <v>69</v>
      </c>
      <c r="C68" s="151" t="s">
        <v>261</v>
      </c>
      <c r="D68" s="151" t="s">
        <v>260</v>
      </c>
      <c r="E68" s="85" t="s">
        <v>172</v>
      </c>
      <c r="F68" s="155">
        <v>4.56</v>
      </c>
      <c r="G68" s="152"/>
      <c r="H68" s="67"/>
    </row>
    <row r="69" spans="1:8" ht="15.75">
      <c r="A69" s="80"/>
      <c r="B69" s="77" t="s">
        <v>69</v>
      </c>
      <c r="C69" s="151" t="s">
        <v>262</v>
      </c>
      <c r="D69" s="151" t="s">
        <v>263</v>
      </c>
      <c r="E69" s="151">
        <v>1.96</v>
      </c>
      <c r="F69" s="152">
        <f>E69*F65</f>
        <v>7.84</v>
      </c>
      <c r="G69" s="152"/>
      <c r="H69" s="67"/>
    </row>
    <row r="70" spans="1:8" ht="15.75">
      <c r="A70" s="80"/>
      <c r="B70" s="77" t="s">
        <v>69</v>
      </c>
      <c r="C70" s="151" t="s">
        <v>264</v>
      </c>
      <c r="D70" s="151" t="s">
        <v>263</v>
      </c>
      <c r="E70" s="151">
        <v>4.38</v>
      </c>
      <c r="F70" s="152">
        <f>E70*F65</f>
        <v>17.52</v>
      </c>
      <c r="G70" s="152"/>
      <c r="H70" s="67"/>
    </row>
    <row r="71" spans="1:8" ht="15.75">
      <c r="A71" s="80"/>
      <c r="B71" s="77"/>
      <c r="C71" s="151" t="s">
        <v>265</v>
      </c>
      <c r="D71" s="151" t="s">
        <v>266</v>
      </c>
      <c r="E71" s="151">
        <v>3.38</v>
      </c>
      <c r="F71" s="152">
        <f>E71*F65</f>
        <v>13.52</v>
      </c>
      <c r="G71" s="152"/>
      <c r="H71" s="67"/>
    </row>
    <row r="72" spans="1:8" ht="15.75">
      <c r="A72" s="80"/>
      <c r="B72" s="77"/>
      <c r="C72" s="151" t="s">
        <v>267</v>
      </c>
      <c r="D72" s="151" t="s">
        <v>263</v>
      </c>
      <c r="E72" s="151">
        <v>7.2</v>
      </c>
      <c r="F72" s="152">
        <f>E72*F65</f>
        <v>28.8</v>
      </c>
      <c r="G72" s="152"/>
      <c r="H72" s="67"/>
    </row>
    <row r="73" spans="1:8" ht="15.75">
      <c r="A73" s="80"/>
      <c r="B73" s="83"/>
      <c r="C73" s="151" t="s">
        <v>186</v>
      </c>
      <c r="D73" s="151" t="s">
        <v>23</v>
      </c>
      <c r="E73" s="151">
        <v>3.44</v>
      </c>
      <c r="F73" s="152">
        <f>E73*F65</f>
        <v>13.76</v>
      </c>
      <c r="G73" s="67"/>
      <c r="H73" s="67"/>
    </row>
    <row r="74" spans="1:8" s="111" customFormat="1" ht="40.5">
      <c r="A74" s="131">
        <v>13</v>
      </c>
      <c r="B74" s="132" t="s">
        <v>251</v>
      </c>
      <c r="C74" s="132" t="s">
        <v>269</v>
      </c>
      <c r="D74" s="131" t="s">
        <v>252</v>
      </c>
      <c r="E74" s="131"/>
      <c r="F74" s="150">
        <v>900</v>
      </c>
      <c r="G74" s="133"/>
      <c r="H74" s="150"/>
    </row>
    <row r="75" spans="1:8" s="111" customFormat="1" ht="13.5">
      <c r="A75" s="85"/>
      <c r="B75" s="85"/>
      <c r="C75" s="85" t="s">
        <v>212</v>
      </c>
      <c r="D75" s="85" t="s">
        <v>10</v>
      </c>
      <c r="E75" s="85">
        <v>1.09</v>
      </c>
      <c r="F75" s="89">
        <f>F74*E75</f>
        <v>981.0000000000001</v>
      </c>
      <c r="G75" s="88"/>
      <c r="H75" s="89"/>
    </row>
    <row r="76" spans="1:8" s="111" customFormat="1" ht="27">
      <c r="A76" s="85"/>
      <c r="B76" s="85"/>
      <c r="C76" s="66" t="s">
        <v>253</v>
      </c>
      <c r="D76" s="85" t="s">
        <v>252</v>
      </c>
      <c r="E76" s="85" t="s">
        <v>254</v>
      </c>
      <c r="F76" s="89">
        <v>900</v>
      </c>
      <c r="G76" s="88"/>
      <c r="H76" s="89"/>
    </row>
    <row r="77" spans="1:8" s="111" customFormat="1" ht="13.5">
      <c r="A77" s="85"/>
      <c r="B77" s="85"/>
      <c r="C77" s="66" t="s">
        <v>76</v>
      </c>
      <c r="D77" s="85" t="s">
        <v>23</v>
      </c>
      <c r="E77" s="85">
        <v>0.109</v>
      </c>
      <c r="F77" s="89">
        <f>E77*F74</f>
        <v>98.1</v>
      </c>
      <c r="G77" s="88"/>
      <c r="H77" s="89"/>
    </row>
    <row r="78" spans="1:8" s="111" customFormat="1" ht="13.5">
      <c r="A78" s="85"/>
      <c r="B78" s="149"/>
      <c r="C78" s="85" t="s">
        <v>186</v>
      </c>
      <c r="D78" s="85" t="s">
        <v>23</v>
      </c>
      <c r="E78" s="85">
        <v>0.055</v>
      </c>
      <c r="F78" s="89">
        <f>E78*F74</f>
        <v>49.5</v>
      </c>
      <c r="G78" s="85"/>
      <c r="H78" s="89"/>
    </row>
    <row r="79" spans="1:8" s="111" customFormat="1" ht="40.5">
      <c r="A79" s="131">
        <v>14</v>
      </c>
      <c r="B79" s="132" t="s">
        <v>255</v>
      </c>
      <c r="C79" s="132" t="s">
        <v>270</v>
      </c>
      <c r="D79" s="131" t="s">
        <v>252</v>
      </c>
      <c r="E79" s="131"/>
      <c r="F79" s="150">
        <v>200</v>
      </c>
      <c r="G79" s="133"/>
      <c r="H79" s="150"/>
    </row>
    <row r="80" spans="1:8" s="111" customFormat="1" ht="13.5">
      <c r="A80" s="85"/>
      <c r="B80" s="85"/>
      <c r="C80" s="85" t="s">
        <v>212</v>
      </c>
      <c r="D80" s="85" t="s">
        <v>10</v>
      </c>
      <c r="E80" s="85">
        <v>0.8</v>
      </c>
      <c r="F80" s="89">
        <f>F79*E80</f>
        <v>160</v>
      </c>
      <c r="G80" s="88"/>
      <c r="H80" s="89"/>
    </row>
    <row r="81" spans="1:8" s="111" customFormat="1" ht="27">
      <c r="A81" s="85"/>
      <c r="B81" s="85"/>
      <c r="C81" s="66" t="s">
        <v>271</v>
      </c>
      <c r="D81" s="85" t="s">
        <v>252</v>
      </c>
      <c r="E81" s="85" t="s">
        <v>254</v>
      </c>
      <c r="F81" s="89">
        <v>200</v>
      </c>
      <c r="G81" s="88"/>
      <c r="H81" s="89"/>
    </row>
    <row r="82" spans="1:8" s="156" customFormat="1" ht="54">
      <c r="A82" s="10"/>
      <c r="B82" s="31"/>
      <c r="C82" s="8" t="s">
        <v>297</v>
      </c>
      <c r="D82" s="8" t="s">
        <v>57</v>
      </c>
      <c r="E82" s="85" t="s">
        <v>240</v>
      </c>
      <c r="F82" s="34">
        <f>1246.4-998</f>
        <v>248.4000000000001</v>
      </c>
      <c r="G82" s="9"/>
      <c r="H82" s="159"/>
    </row>
    <row r="83" spans="1:8" s="111" customFormat="1" ht="13.5">
      <c r="A83" s="85"/>
      <c r="B83" s="85"/>
      <c r="C83" s="66" t="s">
        <v>76</v>
      </c>
      <c r="D83" s="85" t="s">
        <v>23</v>
      </c>
      <c r="E83" s="85">
        <v>0.099</v>
      </c>
      <c r="F83" s="89">
        <f>E83*F79</f>
        <v>19.8</v>
      </c>
      <c r="G83" s="88"/>
      <c r="H83" s="89"/>
    </row>
    <row r="84" spans="1:8" s="111" customFormat="1" ht="13.5">
      <c r="A84" s="85"/>
      <c r="B84" s="149"/>
      <c r="C84" s="85" t="s">
        <v>186</v>
      </c>
      <c r="D84" s="85" t="s">
        <v>23</v>
      </c>
      <c r="E84" s="85">
        <v>0.0134</v>
      </c>
      <c r="F84" s="89">
        <f>E84*F79</f>
        <v>2.68</v>
      </c>
      <c r="G84" s="85"/>
      <c r="H84" s="89"/>
    </row>
    <row r="85" spans="1:8" s="111" customFormat="1" ht="40.5">
      <c r="A85" s="131">
        <v>15</v>
      </c>
      <c r="B85" s="153" t="s">
        <v>298</v>
      </c>
      <c r="C85" s="132" t="s">
        <v>316</v>
      </c>
      <c r="D85" s="131" t="s">
        <v>252</v>
      </c>
      <c r="E85" s="131"/>
      <c r="F85" s="154">
        <v>47.36</v>
      </c>
      <c r="G85" s="131"/>
      <c r="H85" s="150"/>
    </row>
    <row r="86" spans="1:8" s="111" customFormat="1" ht="14.25" customHeight="1">
      <c r="A86" s="85"/>
      <c r="B86" s="149"/>
      <c r="C86" s="85" t="s">
        <v>212</v>
      </c>
      <c r="D86" s="85" t="s">
        <v>10</v>
      </c>
      <c r="E86" s="85">
        <v>0.457</v>
      </c>
      <c r="F86" s="89">
        <f>F85*E86</f>
        <v>21.643520000000002</v>
      </c>
      <c r="G86" s="88"/>
      <c r="H86" s="89"/>
    </row>
    <row r="87" spans="1:8" s="111" customFormat="1" ht="13.5">
      <c r="A87" s="85"/>
      <c r="B87" s="85"/>
      <c r="C87" s="66" t="s">
        <v>301</v>
      </c>
      <c r="D87" s="85" t="s">
        <v>252</v>
      </c>
      <c r="E87" s="85">
        <v>1.1</v>
      </c>
      <c r="F87" s="89">
        <f>E87+F85</f>
        <v>48.46</v>
      </c>
      <c r="G87" s="37"/>
      <c r="H87" s="89"/>
    </row>
    <row r="88" spans="1:8" s="111" customFormat="1" ht="13.5">
      <c r="A88" s="85"/>
      <c r="B88" s="85"/>
      <c r="C88" s="66" t="s">
        <v>299</v>
      </c>
      <c r="D88" s="85" t="s">
        <v>300</v>
      </c>
      <c r="E88" s="85" t="s">
        <v>172</v>
      </c>
      <c r="F88" s="89">
        <v>4</v>
      </c>
      <c r="G88" s="88"/>
      <c r="H88" s="89"/>
    </row>
    <row r="89" spans="1:8" ht="15.75">
      <c r="A89" s="80"/>
      <c r="B89" s="77" t="s">
        <v>69</v>
      </c>
      <c r="C89" s="151" t="s">
        <v>302</v>
      </c>
      <c r="D89" s="151" t="s">
        <v>260</v>
      </c>
      <c r="E89" s="85" t="s">
        <v>172</v>
      </c>
      <c r="F89" s="155">
        <v>1.597</v>
      </c>
      <c r="G89" s="152"/>
      <c r="H89" s="67"/>
    </row>
    <row r="90" spans="1:8" s="156" customFormat="1" ht="54">
      <c r="A90" s="10"/>
      <c r="B90" s="31"/>
      <c r="C90" s="8" t="s">
        <v>297</v>
      </c>
      <c r="D90" s="8" t="s">
        <v>57</v>
      </c>
      <c r="E90" s="85" t="s">
        <v>172</v>
      </c>
      <c r="F90" s="34">
        <v>31.33</v>
      </c>
      <c r="G90" s="9"/>
      <c r="H90" s="159"/>
    </row>
    <row r="91" spans="1:8" s="111" customFormat="1" ht="13.5">
      <c r="A91" s="85"/>
      <c r="B91" s="149"/>
      <c r="C91" s="85" t="s">
        <v>76</v>
      </c>
      <c r="D91" s="85" t="s">
        <v>23</v>
      </c>
      <c r="E91" s="85">
        <v>0.015</v>
      </c>
      <c r="F91" s="87">
        <f>E91*F85</f>
        <v>0.7103999999999999</v>
      </c>
      <c r="G91" s="85"/>
      <c r="H91" s="89"/>
    </row>
    <row r="92" spans="1:8" s="111" customFormat="1" ht="13.5">
      <c r="A92" s="85"/>
      <c r="B92" s="149"/>
      <c r="C92" s="85" t="s">
        <v>186</v>
      </c>
      <c r="D92" s="85" t="s">
        <v>23</v>
      </c>
      <c r="E92" s="85">
        <v>0.035</v>
      </c>
      <c r="F92" s="89">
        <f>E92*F85</f>
        <v>1.6576000000000002</v>
      </c>
      <c r="G92" s="88"/>
      <c r="H92" s="89"/>
    </row>
    <row r="93" spans="1:8" ht="27">
      <c r="A93" s="133">
        <v>16</v>
      </c>
      <c r="B93" s="132" t="s">
        <v>182</v>
      </c>
      <c r="C93" s="132" t="s">
        <v>374</v>
      </c>
      <c r="D93" s="132" t="s">
        <v>18</v>
      </c>
      <c r="E93" s="133"/>
      <c r="F93" s="131">
        <v>28</v>
      </c>
      <c r="G93" s="133"/>
      <c r="H93" s="135"/>
    </row>
    <row r="94" spans="1:8" ht="15.75">
      <c r="A94" s="85"/>
      <c r="B94" s="85"/>
      <c r="C94" s="66" t="s">
        <v>47</v>
      </c>
      <c r="D94" s="66" t="s">
        <v>10</v>
      </c>
      <c r="E94" s="85">
        <v>1.11</v>
      </c>
      <c r="F94" s="87">
        <f>E94*F93</f>
        <v>31.080000000000002</v>
      </c>
      <c r="G94" s="85"/>
      <c r="H94" s="88"/>
    </row>
    <row r="95" spans="1:8" ht="15.75">
      <c r="A95" s="85"/>
      <c r="B95" s="85"/>
      <c r="C95" s="66" t="s">
        <v>76</v>
      </c>
      <c r="D95" s="85" t="s">
        <v>23</v>
      </c>
      <c r="E95" s="85">
        <v>0.516</v>
      </c>
      <c r="F95" s="87">
        <f>E95*F93</f>
        <v>14.448</v>
      </c>
      <c r="G95" s="85"/>
      <c r="H95" s="89"/>
    </row>
    <row r="96" spans="1:8" ht="15.75">
      <c r="A96" s="85"/>
      <c r="B96" s="85"/>
      <c r="C96" s="66" t="s">
        <v>208</v>
      </c>
      <c r="D96" s="85" t="s">
        <v>18</v>
      </c>
      <c r="E96" s="85">
        <v>1</v>
      </c>
      <c r="F96" s="85">
        <f>E96*F93</f>
        <v>28</v>
      </c>
      <c r="G96" s="85"/>
      <c r="H96" s="89"/>
    </row>
    <row r="97" spans="1:8" ht="15.75">
      <c r="A97" s="85"/>
      <c r="B97" s="85"/>
      <c r="C97" s="66" t="s">
        <v>183</v>
      </c>
      <c r="D97" s="85" t="s">
        <v>17</v>
      </c>
      <c r="E97" s="85">
        <v>1.56</v>
      </c>
      <c r="F97" s="85">
        <f>F93*E97</f>
        <v>43.68</v>
      </c>
      <c r="G97" s="85"/>
      <c r="H97" s="89"/>
    </row>
    <row r="98" spans="1:8" ht="15.75">
      <c r="A98" s="85"/>
      <c r="B98" s="85"/>
      <c r="C98" s="66" t="s">
        <v>184</v>
      </c>
      <c r="D98" s="85" t="s">
        <v>17</v>
      </c>
      <c r="E98" s="85">
        <v>0.06</v>
      </c>
      <c r="F98" s="85">
        <f>E98*F93</f>
        <v>1.68</v>
      </c>
      <c r="G98" s="85"/>
      <c r="H98" s="89"/>
    </row>
    <row r="99" spans="1:8" ht="15.75">
      <c r="A99" s="85"/>
      <c r="B99" s="85"/>
      <c r="C99" s="66" t="s">
        <v>185</v>
      </c>
      <c r="D99" s="85" t="s">
        <v>17</v>
      </c>
      <c r="E99" s="85">
        <v>0.048</v>
      </c>
      <c r="F99" s="85">
        <f>E99*F93</f>
        <v>1.344</v>
      </c>
      <c r="G99" s="85"/>
      <c r="H99" s="60"/>
    </row>
    <row r="100" spans="1:8" ht="15.75">
      <c r="A100" s="85"/>
      <c r="B100" s="85"/>
      <c r="C100" s="66" t="s">
        <v>186</v>
      </c>
      <c r="D100" s="85" t="s">
        <v>23</v>
      </c>
      <c r="E100" s="85">
        <v>0.054</v>
      </c>
      <c r="F100" s="85">
        <f>E100*F93</f>
        <v>1.512</v>
      </c>
      <c r="G100" s="85"/>
      <c r="H100" s="89"/>
    </row>
    <row r="101" spans="1:8" ht="67.5">
      <c r="A101" s="142">
        <v>17</v>
      </c>
      <c r="B101" s="153" t="s">
        <v>173</v>
      </c>
      <c r="C101" s="132" t="s">
        <v>272</v>
      </c>
      <c r="D101" s="132" t="s">
        <v>12</v>
      </c>
      <c r="E101" s="138"/>
      <c r="F101" s="138">
        <v>16</v>
      </c>
      <c r="G101" s="134"/>
      <c r="H101" s="134"/>
    </row>
    <row r="102" spans="1:8" ht="15.75">
      <c r="A102" s="80"/>
      <c r="B102" s="83"/>
      <c r="C102" s="66" t="s">
        <v>47</v>
      </c>
      <c r="D102" s="66" t="s">
        <v>10</v>
      </c>
      <c r="E102" s="84">
        <v>3.36</v>
      </c>
      <c r="F102" s="84">
        <f>F101*E102</f>
        <v>53.76</v>
      </c>
      <c r="G102" s="67"/>
      <c r="H102" s="79"/>
    </row>
    <row r="103" spans="1:8" ht="15.75">
      <c r="A103" s="80"/>
      <c r="B103" s="83"/>
      <c r="C103" s="66" t="s">
        <v>48</v>
      </c>
      <c r="D103" s="66" t="s">
        <v>23</v>
      </c>
      <c r="E103" s="84">
        <v>0.92</v>
      </c>
      <c r="F103" s="84">
        <f>F101*E103</f>
        <v>14.72</v>
      </c>
      <c r="G103" s="67"/>
      <c r="H103" s="79"/>
    </row>
    <row r="104" spans="1:8" ht="15.75">
      <c r="A104" s="80"/>
      <c r="B104" s="83"/>
      <c r="C104" s="66" t="s">
        <v>77</v>
      </c>
      <c r="D104" s="66" t="s">
        <v>12</v>
      </c>
      <c r="E104" s="84">
        <v>0.11</v>
      </c>
      <c r="F104" s="84">
        <f>F101*E104</f>
        <v>1.76</v>
      </c>
      <c r="G104" s="67"/>
      <c r="H104" s="79"/>
    </row>
    <row r="105" spans="1:8" ht="27">
      <c r="A105" s="80"/>
      <c r="B105" s="83"/>
      <c r="C105" s="66" t="s">
        <v>273</v>
      </c>
      <c r="D105" s="66" t="s">
        <v>21</v>
      </c>
      <c r="E105" s="84">
        <v>62.5</v>
      </c>
      <c r="F105" s="84">
        <f>F101*E105</f>
        <v>1000</v>
      </c>
      <c r="G105" s="67"/>
      <c r="H105" s="79"/>
    </row>
    <row r="106" spans="1:8" ht="15.75">
      <c r="A106" s="80"/>
      <c r="B106" s="83"/>
      <c r="C106" s="66" t="s">
        <v>19</v>
      </c>
      <c r="D106" s="66" t="s">
        <v>23</v>
      </c>
      <c r="E106" s="84">
        <v>0.16</v>
      </c>
      <c r="F106" s="84">
        <f>F101*E106</f>
        <v>2.56</v>
      </c>
      <c r="G106" s="67"/>
      <c r="H106" s="79"/>
    </row>
    <row r="107" spans="1:8" ht="38.25">
      <c r="A107" s="142">
        <v>18</v>
      </c>
      <c r="B107" s="153" t="s">
        <v>83</v>
      </c>
      <c r="C107" s="132" t="s">
        <v>279</v>
      </c>
      <c r="D107" s="132" t="s">
        <v>9</v>
      </c>
      <c r="E107" s="138"/>
      <c r="F107" s="138">
        <v>1.1</v>
      </c>
      <c r="G107" s="134"/>
      <c r="H107" s="134"/>
    </row>
    <row r="108" spans="1:8" ht="15.75">
      <c r="A108" s="80"/>
      <c r="B108" s="83"/>
      <c r="C108" s="66" t="s">
        <v>46</v>
      </c>
      <c r="D108" s="66" t="s">
        <v>10</v>
      </c>
      <c r="E108" s="84">
        <v>19.48</v>
      </c>
      <c r="F108" s="84">
        <f>F107*E108</f>
        <v>21.428</v>
      </c>
      <c r="G108" s="67"/>
      <c r="H108" s="79"/>
    </row>
    <row r="109" spans="1:8" ht="15.75">
      <c r="A109" s="80"/>
      <c r="B109" s="83"/>
      <c r="C109" s="66" t="s">
        <v>48</v>
      </c>
      <c r="D109" s="66" t="s">
        <v>74</v>
      </c>
      <c r="E109" s="84">
        <v>1.41</v>
      </c>
      <c r="F109" s="84">
        <f>F107*E109</f>
        <v>1.551</v>
      </c>
      <c r="G109" s="67"/>
      <c r="H109" s="79"/>
    </row>
    <row r="110" spans="1:8" ht="15.75">
      <c r="A110" s="80"/>
      <c r="B110" s="83"/>
      <c r="C110" s="66" t="s">
        <v>84</v>
      </c>
      <c r="D110" s="66" t="s">
        <v>12</v>
      </c>
      <c r="E110" s="84">
        <v>3.06</v>
      </c>
      <c r="F110" s="84">
        <f>F107*E110</f>
        <v>3.3660000000000005</v>
      </c>
      <c r="G110" s="67"/>
      <c r="H110" s="79"/>
    </row>
    <row r="111" spans="1:8" ht="15.75">
      <c r="A111" s="80"/>
      <c r="B111" s="83"/>
      <c r="C111" s="66" t="s">
        <v>19</v>
      </c>
      <c r="D111" s="66" t="s">
        <v>74</v>
      </c>
      <c r="E111" s="84">
        <v>6.36</v>
      </c>
      <c r="F111" s="84">
        <f>F107*E111</f>
        <v>6.996000000000001</v>
      </c>
      <c r="G111" s="67"/>
      <c r="H111" s="79"/>
    </row>
    <row r="112" spans="1:8" s="127" customFormat="1" ht="27">
      <c r="A112" s="136" t="s">
        <v>372</v>
      </c>
      <c r="B112" s="137" t="s">
        <v>274</v>
      </c>
      <c r="C112" s="132" t="s">
        <v>275</v>
      </c>
      <c r="D112" s="132" t="s">
        <v>12</v>
      </c>
      <c r="E112" s="138"/>
      <c r="F112" s="134">
        <f>106.3*0.05</f>
        <v>5.315</v>
      </c>
      <c r="G112" s="134"/>
      <c r="H112" s="134"/>
    </row>
    <row r="113" spans="1:8" s="127" customFormat="1" ht="13.5">
      <c r="A113" s="90"/>
      <c r="B113" s="71"/>
      <c r="C113" s="66" t="s">
        <v>42</v>
      </c>
      <c r="D113" s="66" t="s">
        <v>10</v>
      </c>
      <c r="E113" s="67">
        <v>3.58</v>
      </c>
      <c r="F113" s="84">
        <f>E113*F112</f>
        <v>19.027700000000003</v>
      </c>
      <c r="G113" s="67"/>
      <c r="H113" s="79"/>
    </row>
    <row r="114" spans="1:8" s="127" customFormat="1" ht="13.5">
      <c r="A114" s="90"/>
      <c r="B114" s="71"/>
      <c r="C114" s="66" t="s">
        <v>76</v>
      </c>
      <c r="D114" s="66" t="s">
        <v>23</v>
      </c>
      <c r="E114" s="67">
        <v>1.08</v>
      </c>
      <c r="F114" s="84">
        <f>E114*F112</f>
        <v>5.740200000000001</v>
      </c>
      <c r="G114" s="67"/>
      <c r="H114" s="79"/>
    </row>
    <row r="115" spans="1:8" s="111" customFormat="1" ht="27">
      <c r="A115" s="85"/>
      <c r="B115" s="144"/>
      <c r="C115" s="66" t="s">
        <v>276</v>
      </c>
      <c r="D115" s="66" t="s">
        <v>220</v>
      </c>
      <c r="E115" s="85" t="s">
        <v>240</v>
      </c>
      <c r="F115" s="67">
        <f>F116*0.6</f>
        <v>3.5079000000000002</v>
      </c>
      <c r="G115" s="85"/>
      <c r="H115" s="88"/>
    </row>
    <row r="116" spans="1:8" s="127" customFormat="1" ht="13.5">
      <c r="A116" s="90"/>
      <c r="B116" s="71"/>
      <c r="C116" s="66" t="s">
        <v>277</v>
      </c>
      <c r="D116" s="66" t="s">
        <v>257</v>
      </c>
      <c r="E116" s="84">
        <v>1.1</v>
      </c>
      <c r="F116" s="84">
        <f>E116*F112</f>
        <v>5.846500000000001</v>
      </c>
      <c r="G116" s="67"/>
      <c r="H116" s="79"/>
    </row>
    <row r="117" spans="1:8" ht="38.25">
      <c r="A117" s="142">
        <v>20</v>
      </c>
      <c r="B117" s="153" t="s">
        <v>80</v>
      </c>
      <c r="C117" s="132" t="s">
        <v>85</v>
      </c>
      <c r="D117" s="132" t="s">
        <v>9</v>
      </c>
      <c r="E117" s="138"/>
      <c r="F117" s="138">
        <f>F107</f>
        <v>1.1</v>
      </c>
      <c r="G117" s="134"/>
      <c r="H117" s="134"/>
    </row>
    <row r="118" spans="1:8" ht="15.75">
      <c r="A118" s="80"/>
      <c r="B118" s="83"/>
      <c r="C118" s="66" t="s">
        <v>46</v>
      </c>
      <c r="D118" s="66" t="s">
        <v>10</v>
      </c>
      <c r="E118" s="84">
        <v>108</v>
      </c>
      <c r="F118" s="84">
        <f>F117*E118</f>
        <v>118.80000000000001</v>
      </c>
      <c r="G118" s="67"/>
      <c r="H118" s="79"/>
    </row>
    <row r="119" spans="1:8" ht="15.75">
      <c r="A119" s="80"/>
      <c r="B119" s="83"/>
      <c r="C119" s="66" t="s">
        <v>49</v>
      </c>
      <c r="D119" s="66" t="s">
        <v>74</v>
      </c>
      <c r="E119" s="84">
        <v>4.52</v>
      </c>
      <c r="F119" s="84">
        <f>F117*E119</f>
        <v>4.9719999999999995</v>
      </c>
      <c r="G119" s="67"/>
      <c r="H119" s="79"/>
    </row>
    <row r="120" spans="1:8" ht="15.75">
      <c r="A120" s="80"/>
      <c r="B120" s="83"/>
      <c r="C120" s="66" t="s">
        <v>81</v>
      </c>
      <c r="D120" s="66" t="s">
        <v>18</v>
      </c>
      <c r="E120" s="84">
        <v>102</v>
      </c>
      <c r="F120" s="84">
        <f>E120*F117</f>
        <v>112.2</v>
      </c>
      <c r="G120" s="67"/>
      <c r="H120" s="79"/>
    </row>
    <row r="121" spans="1:8" ht="15.75">
      <c r="A121" s="80"/>
      <c r="B121" s="83"/>
      <c r="C121" s="66" t="s">
        <v>278</v>
      </c>
      <c r="D121" s="66" t="s">
        <v>12</v>
      </c>
      <c r="E121" s="84">
        <v>2.23</v>
      </c>
      <c r="F121" s="84">
        <f>F117*E121</f>
        <v>2.4530000000000003</v>
      </c>
      <c r="G121" s="67"/>
      <c r="H121" s="79"/>
    </row>
    <row r="122" spans="1:8" ht="15.75">
      <c r="A122" s="80"/>
      <c r="B122" s="83"/>
      <c r="C122" s="66" t="s">
        <v>19</v>
      </c>
      <c r="D122" s="66" t="s">
        <v>74</v>
      </c>
      <c r="E122" s="84">
        <v>4.66</v>
      </c>
      <c r="F122" s="84">
        <f>F117*E122</f>
        <v>5.126</v>
      </c>
      <c r="G122" s="67"/>
      <c r="H122" s="79"/>
    </row>
    <row r="123" spans="1:8" s="127" customFormat="1" ht="40.5">
      <c r="A123" s="136" t="s">
        <v>373</v>
      </c>
      <c r="B123" s="137" t="s">
        <v>248</v>
      </c>
      <c r="C123" s="132" t="s">
        <v>348</v>
      </c>
      <c r="D123" s="132" t="s">
        <v>21</v>
      </c>
      <c r="E123" s="138"/>
      <c r="F123" s="134">
        <v>48</v>
      </c>
      <c r="G123" s="134"/>
      <c r="H123" s="134"/>
    </row>
    <row r="124" spans="1:8" s="127" customFormat="1" ht="13.5">
      <c r="A124" s="77"/>
      <c r="B124" s="71"/>
      <c r="C124" s="66" t="s">
        <v>349</v>
      </c>
      <c r="D124" s="66" t="s">
        <v>21</v>
      </c>
      <c r="E124" s="67">
        <v>1</v>
      </c>
      <c r="F124" s="84">
        <f>F123*E124</f>
        <v>48</v>
      </c>
      <c r="G124" s="67"/>
      <c r="H124" s="79"/>
    </row>
    <row r="125" spans="1:8" s="127" customFormat="1" ht="13.5">
      <c r="A125" s="77"/>
      <c r="B125" s="71"/>
      <c r="C125" s="66" t="s">
        <v>42</v>
      </c>
      <c r="D125" s="66" t="s">
        <v>21</v>
      </c>
      <c r="E125" s="67">
        <v>1</v>
      </c>
      <c r="F125" s="84">
        <f>F123*E125</f>
        <v>48</v>
      </c>
      <c r="G125" s="67"/>
      <c r="H125" s="79"/>
    </row>
    <row r="126" spans="1:8" ht="38.25">
      <c r="A126" s="142">
        <v>22</v>
      </c>
      <c r="B126" s="153" t="s">
        <v>86</v>
      </c>
      <c r="C126" s="132" t="s">
        <v>280</v>
      </c>
      <c r="D126" s="132" t="s">
        <v>9</v>
      </c>
      <c r="E126" s="138"/>
      <c r="F126" s="138">
        <f>213.2/100</f>
        <v>2.1319999999999997</v>
      </c>
      <c r="G126" s="134"/>
      <c r="H126" s="134"/>
    </row>
    <row r="127" spans="1:8" ht="15.75">
      <c r="A127" s="80"/>
      <c r="B127" s="83"/>
      <c r="C127" s="66" t="s">
        <v>46</v>
      </c>
      <c r="D127" s="66" t="s">
        <v>10</v>
      </c>
      <c r="E127" s="84">
        <v>219</v>
      </c>
      <c r="F127" s="84">
        <f>F126*E127</f>
        <v>466.9079999999999</v>
      </c>
      <c r="G127" s="67"/>
      <c r="H127" s="79"/>
    </row>
    <row r="128" spans="1:8" ht="15.75">
      <c r="A128" s="80"/>
      <c r="B128" s="83"/>
      <c r="C128" s="66" t="s">
        <v>49</v>
      </c>
      <c r="D128" s="66" t="s">
        <v>51</v>
      </c>
      <c r="E128" s="84">
        <v>2</v>
      </c>
      <c r="F128" s="84">
        <f>F126*E128</f>
        <v>4.263999999999999</v>
      </c>
      <c r="G128" s="67"/>
      <c r="H128" s="79"/>
    </row>
    <row r="129" spans="1:8" ht="15.75">
      <c r="A129" s="80"/>
      <c r="B129" s="83"/>
      <c r="C129" s="66" t="s">
        <v>82</v>
      </c>
      <c r="D129" s="66" t="s">
        <v>12</v>
      </c>
      <c r="E129" s="84">
        <v>1.5</v>
      </c>
      <c r="F129" s="84">
        <f>F126*E129</f>
        <v>3.1979999999999995</v>
      </c>
      <c r="G129" s="67"/>
      <c r="H129" s="79"/>
    </row>
    <row r="130" spans="1:8" ht="15.75">
      <c r="A130" s="80"/>
      <c r="B130" s="83" t="s">
        <v>54</v>
      </c>
      <c r="C130" s="66" t="s">
        <v>87</v>
      </c>
      <c r="D130" s="66" t="s">
        <v>18</v>
      </c>
      <c r="E130" s="84">
        <v>103</v>
      </c>
      <c r="F130" s="84">
        <f>F126*E130</f>
        <v>219.59599999999998</v>
      </c>
      <c r="G130" s="67"/>
      <c r="H130" s="79"/>
    </row>
    <row r="131" spans="1:8" ht="15.75">
      <c r="A131" s="80"/>
      <c r="B131" s="83"/>
      <c r="C131" s="66" t="s">
        <v>19</v>
      </c>
      <c r="D131" s="66" t="s">
        <v>51</v>
      </c>
      <c r="E131" s="84">
        <v>0.7</v>
      </c>
      <c r="F131" s="84">
        <f>F126*E131</f>
        <v>1.4923999999999997</v>
      </c>
      <c r="G131" s="67"/>
      <c r="H131" s="79"/>
    </row>
    <row r="132" spans="1:8" ht="51">
      <c r="A132" s="142">
        <v>23</v>
      </c>
      <c r="B132" s="153" t="s">
        <v>193</v>
      </c>
      <c r="C132" s="132" t="s">
        <v>98</v>
      </c>
      <c r="D132" s="132" t="s">
        <v>9</v>
      </c>
      <c r="E132" s="138"/>
      <c r="F132" s="138">
        <v>0.505</v>
      </c>
      <c r="G132" s="134"/>
      <c r="H132" s="134"/>
    </row>
    <row r="133" spans="1:8" ht="15.75">
      <c r="A133" s="80"/>
      <c r="B133" s="83" t="s">
        <v>88</v>
      </c>
      <c r="C133" s="66" t="s">
        <v>72</v>
      </c>
      <c r="D133" s="66" t="s">
        <v>18</v>
      </c>
      <c r="E133" s="84">
        <v>100</v>
      </c>
      <c r="F133" s="84">
        <f>F132*E133</f>
        <v>50.5</v>
      </c>
      <c r="G133" s="67"/>
      <c r="H133" s="79"/>
    </row>
    <row r="134" spans="1:8" ht="15.75">
      <c r="A134" s="80"/>
      <c r="B134" s="83"/>
      <c r="C134" s="66" t="s">
        <v>89</v>
      </c>
      <c r="D134" s="66" t="s">
        <v>23</v>
      </c>
      <c r="E134" s="84">
        <v>1.74</v>
      </c>
      <c r="F134" s="84">
        <f>F132*E134</f>
        <v>0.8787</v>
      </c>
      <c r="G134" s="67"/>
      <c r="H134" s="79"/>
    </row>
    <row r="135" spans="1:8" ht="15.75">
      <c r="A135" s="80"/>
      <c r="B135" s="83"/>
      <c r="C135" s="66" t="s">
        <v>90</v>
      </c>
      <c r="D135" s="66" t="s">
        <v>12</v>
      </c>
      <c r="E135" s="84">
        <v>1.05</v>
      </c>
      <c r="F135" s="84">
        <f>F132*E135</f>
        <v>0.53025</v>
      </c>
      <c r="G135" s="67"/>
      <c r="H135" s="79"/>
    </row>
    <row r="136" spans="1:8" ht="15.75">
      <c r="A136" s="80"/>
      <c r="B136" s="83"/>
      <c r="C136" s="66" t="s">
        <v>91</v>
      </c>
      <c r="D136" s="66" t="s">
        <v>17</v>
      </c>
      <c r="E136" s="84">
        <v>52.1</v>
      </c>
      <c r="F136" s="84">
        <f>F132*E136</f>
        <v>26.3105</v>
      </c>
      <c r="G136" s="67"/>
      <c r="H136" s="79"/>
    </row>
    <row r="137" spans="1:8" ht="15.75">
      <c r="A137" s="80"/>
      <c r="B137" s="83"/>
      <c r="C137" s="66" t="s">
        <v>92</v>
      </c>
      <c r="D137" s="66" t="s">
        <v>17</v>
      </c>
      <c r="E137" s="84">
        <v>52</v>
      </c>
      <c r="F137" s="84">
        <f>F132*E137</f>
        <v>26.26</v>
      </c>
      <c r="G137" s="67"/>
      <c r="H137" s="79"/>
    </row>
    <row r="138" spans="1:8" ht="27">
      <c r="A138" s="80"/>
      <c r="B138" s="83" t="s">
        <v>54</v>
      </c>
      <c r="C138" s="66" t="s">
        <v>93</v>
      </c>
      <c r="D138" s="66" t="s">
        <v>18</v>
      </c>
      <c r="E138" s="84">
        <v>103</v>
      </c>
      <c r="F138" s="84">
        <f>F132*E138</f>
        <v>52.015</v>
      </c>
      <c r="G138" s="67"/>
      <c r="H138" s="79"/>
    </row>
    <row r="139" spans="1:8" ht="15.75">
      <c r="A139" s="80"/>
      <c r="B139" s="83" t="s">
        <v>54</v>
      </c>
      <c r="C139" s="66" t="s">
        <v>94</v>
      </c>
      <c r="D139" s="66" t="s">
        <v>22</v>
      </c>
      <c r="E139" s="84">
        <v>107</v>
      </c>
      <c r="F139" s="84">
        <f>F132*E139</f>
        <v>54.035000000000004</v>
      </c>
      <c r="G139" s="67"/>
      <c r="H139" s="79"/>
    </row>
    <row r="140" spans="1:8" ht="15.75">
      <c r="A140" s="80"/>
      <c r="B140" s="83"/>
      <c r="C140" s="66" t="s">
        <v>95</v>
      </c>
      <c r="D140" s="66" t="s">
        <v>23</v>
      </c>
      <c r="E140" s="84">
        <v>2.43</v>
      </c>
      <c r="F140" s="84">
        <f>F132*E140</f>
        <v>1.2271500000000002</v>
      </c>
      <c r="G140" s="67"/>
      <c r="H140" s="79"/>
    </row>
    <row r="141" spans="1:8" s="156" customFormat="1" ht="38.25">
      <c r="A141" s="131">
        <v>24</v>
      </c>
      <c r="B141" s="153" t="s">
        <v>281</v>
      </c>
      <c r="C141" s="132" t="s">
        <v>312</v>
      </c>
      <c r="D141" s="131" t="s">
        <v>228</v>
      </c>
      <c r="E141" s="154"/>
      <c r="F141" s="134">
        <v>800</v>
      </c>
      <c r="G141" s="150"/>
      <c r="H141" s="135"/>
    </row>
    <row r="142" spans="1:8" s="156" customFormat="1" ht="13.5">
      <c r="A142" s="36"/>
      <c r="B142" s="36"/>
      <c r="C142" s="66" t="s">
        <v>282</v>
      </c>
      <c r="D142" s="157" t="s">
        <v>228</v>
      </c>
      <c r="E142" s="158" t="s">
        <v>283</v>
      </c>
      <c r="F142" s="9">
        <f>F141</f>
        <v>800</v>
      </c>
      <c r="G142" s="37"/>
      <c r="H142" s="159"/>
    </row>
    <row r="143" spans="1:8" s="156" customFormat="1" ht="54">
      <c r="A143" s="10"/>
      <c r="B143" s="31"/>
      <c r="C143" s="8" t="s">
        <v>297</v>
      </c>
      <c r="D143" s="8" t="s">
        <v>57</v>
      </c>
      <c r="E143" s="85" t="s">
        <v>240</v>
      </c>
      <c r="F143" s="34">
        <v>800</v>
      </c>
      <c r="G143" s="9"/>
      <c r="H143" s="159"/>
    </row>
    <row r="144" spans="1:8" s="156" customFormat="1" ht="13.5">
      <c r="A144" s="36"/>
      <c r="B144" s="36"/>
      <c r="C144" s="66" t="s">
        <v>301</v>
      </c>
      <c r="D144" s="157" t="s">
        <v>228</v>
      </c>
      <c r="E144" s="158">
        <v>1.1</v>
      </c>
      <c r="F144" s="9">
        <f>E144*F141</f>
        <v>880.0000000000001</v>
      </c>
      <c r="G144" s="37"/>
      <c r="H144" s="159"/>
    </row>
    <row r="145" spans="1:8" s="156" customFormat="1" ht="13.5">
      <c r="A145" s="36"/>
      <c r="B145" s="36"/>
      <c r="C145" s="8" t="s">
        <v>284</v>
      </c>
      <c r="D145" s="157" t="s">
        <v>285</v>
      </c>
      <c r="E145" s="158">
        <v>0.8</v>
      </c>
      <c r="F145" s="9">
        <f>E145*F141</f>
        <v>640</v>
      </c>
      <c r="G145" s="37"/>
      <c r="H145" s="159"/>
    </row>
    <row r="146" spans="1:8" s="156" customFormat="1" ht="13.5">
      <c r="A146" s="36"/>
      <c r="B146" s="36"/>
      <c r="C146" s="8" t="s">
        <v>286</v>
      </c>
      <c r="D146" s="157" t="s">
        <v>285</v>
      </c>
      <c r="E146" s="158">
        <v>3.2</v>
      </c>
      <c r="F146" s="9">
        <f>E146*F141</f>
        <v>2560</v>
      </c>
      <c r="G146" s="37"/>
      <c r="H146" s="159"/>
    </row>
    <row r="147" spans="1:8" s="156" customFormat="1" ht="13.5">
      <c r="A147" s="10"/>
      <c r="B147" s="31"/>
      <c r="C147" s="8" t="s">
        <v>287</v>
      </c>
      <c r="D147" s="8" t="s">
        <v>21</v>
      </c>
      <c r="E147" s="34">
        <v>17</v>
      </c>
      <c r="F147" s="34">
        <f>E147*F141</f>
        <v>13600</v>
      </c>
      <c r="G147" s="9"/>
      <c r="H147" s="159"/>
    </row>
    <row r="148" spans="1:8" s="156" customFormat="1" ht="13.5">
      <c r="A148" s="10"/>
      <c r="B148" s="31"/>
      <c r="C148" s="66" t="s">
        <v>288</v>
      </c>
      <c r="D148" s="8" t="s">
        <v>51</v>
      </c>
      <c r="E148" s="40">
        <v>0.0174</v>
      </c>
      <c r="F148" s="34">
        <f>F141*E148</f>
        <v>13.919999999999998</v>
      </c>
      <c r="G148" s="9"/>
      <c r="H148" s="159"/>
    </row>
    <row r="149" spans="1:8" s="156" customFormat="1" ht="13.5">
      <c r="A149" s="10"/>
      <c r="B149" s="31"/>
      <c r="C149" s="66" t="s">
        <v>289</v>
      </c>
      <c r="D149" s="8" t="s">
        <v>51</v>
      </c>
      <c r="E149" s="34">
        <v>0.243</v>
      </c>
      <c r="F149" s="34">
        <f>F141*E149</f>
        <v>194.4</v>
      </c>
      <c r="G149" s="9"/>
      <c r="H149" s="159"/>
    </row>
    <row r="150" spans="1:9" ht="38.25">
      <c r="A150" s="142">
        <v>25</v>
      </c>
      <c r="B150" s="153" t="s">
        <v>290</v>
      </c>
      <c r="C150" s="132" t="s">
        <v>291</v>
      </c>
      <c r="D150" s="132" t="s">
        <v>9</v>
      </c>
      <c r="E150" s="134"/>
      <c r="F150" s="146">
        <v>5</v>
      </c>
      <c r="G150" s="134"/>
      <c r="H150" s="134"/>
      <c r="I150" s="160"/>
    </row>
    <row r="151" spans="1:8" ht="15.75">
      <c r="A151" s="80"/>
      <c r="B151" s="83"/>
      <c r="C151" s="66" t="s">
        <v>47</v>
      </c>
      <c r="D151" s="66" t="s">
        <v>10</v>
      </c>
      <c r="E151" s="67">
        <v>64</v>
      </c>
      <c r="F151" s="84">
        <f>F150*E151</f>
        <v>320</v>
      </c>
      <c r="G151" s="141"/>
      <c r="H151" s="79"/>
    </row>
    <row r="152" spans="1:8" ht="15.75">
      <c r="A152" s="80"/>
      <c r="B152" s="83"/>
      <c r="C152" s="66" t="s">
        <v>192</v>
      </c>
      <c r="D152" s="66" t="s">
        <v>24</v>
      </c>
      <c r="E152" s="67">
        <v>4.1</v>
      </c>
      <c r="F152" s="84">
        <f>F150*E152</f>
        <v>20.5</v>
      </c>
      <c r="G152" s="67"/>
      <c r="H152" s="79"/>
    </row>
    <row r="153" spans="1:8" ht="15.75">
      <c r="A153" s="80"/>
      <c r="B153" s="83"/>
      <c r="C153" s="66" t="s">
        <v>78</v>
      </c>
      <c r="D153" s="66" t="s">
        <v>23</v>
      </c>
      <c r="E153" s="67">
        <v>2.1</v>
      </c>
      <c r="F153" s="84">
        <f>F150*E153</f>
        <v>10.5</v>
      </c>
      <c r="G153" s="67"/>
      <c r="H153" s="79"/>
    </row>
    <row r="154" spans="1:8" ht="15.75">
      <c r="A154" s="80"/>
      <c r="B154" s="83"/>
      <c r="C154" s="66" t="s">
        <v>191</v>
      </c>
      <c r="D154" s="66" t="s">
        <v>12</v>
      </c>
      <c r="E154" s="67">
        <v>1.58</v>
      </c>
      <c r="F154" s="84">
        <f>F150*E154</f>
        <v>7.9</v>
      </c>
      <c r="G154" s="67"/>
      <c r="H154" s="79"/>
    </row>
    <row r="155" spans="1:8" ht="15.75">
      <c r="A155" s="80"/>
      <c r="B155" s="83"/>
      <c r="C155" s="66" t="s">
        <v>292</v>
      </c>
      <c r="D155" s="66" t="s">
        <v>18</v>
      </c>
      <c r="E155" s="67">
        <v>2.58</v>
      </c>
      <c r="F155" s="84">
        <f>E155*F150</f>
        <v>12.9</v>
      </c>
      <c r="G155" s="67"/>
      <c r="H155" s="79"/>
    </row>
    <row r="156" spans="1:8" ht="15.75">
      <c r="A156" s="80"/>
      <c r="B156" s="83"/>
      <c r="C156" s="66" t="s">
        <v>19</v>
      </c>
      <c r="D156" s="66" t="s">
        <v>23</v>
      </c>
      <c r="E156" s="67">
        <v>0.3</v>
      </c>
      <c r="F156" s="84">
        <f>F150*E156</f>
        <v>1.5</v>
      </c>
      <c r="G156" s="67"/>
      <c r="H156" s="79"/>
    </row>
    <row r="157" spans="1:8" ht="38.25">
      <c r="A157" s="142">
        <v>26</v>
      </c>
      <c r="B157" s="153" t="s">
        <v>293</v>
      </c>
      <c r="C157" s="132" t="s">
        <v>328</v>
      </c>
      <c r="D157" s="132" t="s">
        <v>9</v>
      </c>
      <c r="E157" s="138"/>
      <c r="F157" s="146">
        <f>2573.04/100+F141/100</f>
        <v>33.7304</v>
      </c>
      <c r="G157" s="134"/>
      <c r="H157" s="134"/>
    </row>
    <row r="158" spans="1:8" ht="15.75">
      <c r="A158" s="80"/>
      <c r="B158" s="83"/>
      <c r="C158" s="66" t="s">
        <v>47</v>
      </c>
      <c r="D158" s="66" t="s">
        <v>10</v>
      </c>
      <c r="E158" s="67">
        <v>65.8</v>
      </c>
      <c r="F158" s="84">
        <f>F157*E158</f>
        <v>2219.46032</v>
      </c>
      <c r="G158" s="141"/>
      <c r="H158" s="79"/>
    </row>
    <row r="159" spans="1:8" ht="15.75">
      <c r="A159" s="80"/>
      <c r="B159" s="83"/>
      <c r="C159" s="66" t="s">
        <v>49</v>
      </c>
      <c r="D159" s="66" t="s">
        <v>23</v>
      </c>
      <c r="E159" s="67">
        <v>1</v>
      </c>
      <c r="F159" s="84">
        <f>F157*E159</f>
        <v>33.7304</v>
      </c>
      <c r="G159" s="141"/>
      <c r="H159" s="79"/>
    </row>
    <row r="160" spans="1:8" ht="15.75">
      <c r="A160" s="80"/>
      <c r="B160" s="83"/>
      <c r="C160" s="66" t="s">
        <v>294</v>
      </c>
      <c r="D160" s="66" t="s">
        <v>17</v>
      </c>
      <c r="E160" s="67">
        <v>63</v>
      </c>
      <c r="F160" s="84">
        <f>F157*E160</f>
        <v>2125.0152000000003</v>
      </c>
      <c r="G160" s="141"/>
      <c r="H160" s="79"/>
    </row>
    <row r="161" spans="1:8" ht="15.75">
      <c r="A161" s="80"/>
      <c r="B161" s="83"/>
      <c r="C161" s="66" t="s">
        <v>295</v>
      </c>
      <c r="D161" s="66" t="s">
        <v>17</v>
      </c>
      <c r="E161" s="67">
        <v>79</v>
      </c>
      <c r="F161" s="84">
        <f>F157*E161</f>
        <v>2664.7016000000003</v>
      </c>
      <c r="G161" s="141"/>
      <c r="H161" s="79"/>
    </row>
    <row r="162" spans="1:8" ht="15.75">
      <c r="A162" s="80"/>
      <c r="B162" s="83"/>
      <c r="C162" s="66" t="s">
        <v>296</v>
      </c>
      <c r="D162" s="66" t="s">
        <v>23</v>
      </c>
      <c r="E162" s="67">
        <v>1.6</v>
      </c>
      <c r="F162" s="84">
        <f>F157*E162</f>
        <v>53.96864000000001</v>
      </c>
      <c r="G162" s="141"/>
      <c r="H162" s="79"/>
    </row>
    <row r="163" spans="1:8" ht="37.5" customHeight="1">
      <c r="A163" s="142">
        <v>27</v>
      </c>
      <c r="B163" s="153" t="s">
        <v>317</v>
      </c>
      <c r="C163" s="132" t="s">
        <v>318</v>
      </c>
      <c r="D163" s="132" t="s">
        <v>12</v>
      </c>
      <c r="E163" s="138"/>
      <c r="F163" s="138">
        <f>F76*0.04+F81*0.014</f>
        <v>38.8</v>
      </c>
      <c r="G163" s="134"/>
      <c r="H163" s="134"/>
    </row>
    <row r="164" spans="1:8" ht="15.75">
      <c r="A164" s="80"/>
      <c r="B164" s="83"/>
      <c r="C164" s="66" t="s">
        <v>46</v>
      </c>
      <c r="D164" s="66" t="s">
        <v>10</v>
      </c>
      <c r="E164" s="84">
        <v>0.87</v>
      </c>
      <c r="F164" s="84">
        <f>E164*F163</f>
        <v>33.756</v>
      </c>
      <c r="G164" s="67"/>
      <c r="H164" s="79"/>
    </row>
    <row r="165" spans="1:8" ht="15.75">
      <c r="A165" s="80"/>
      <c r="B165" s="83"/>
      <c r="C165" s="66" t="s">
        <v>48</v>
      </c>
      <c r="D165" s="66" t="s">
        <v>23</v>
      </c>
      <c r="E165" s="84">
        <v>0.13</v>
      </c>
      <c r="F165" s="84">
        <f>F163*E165</f>
        <v>5.044</v>
      </c>
      <c r="G165" s="67"/>
      <c r="H165" s="79"/>
    </row>
    <row r="166" spans="1:8" ht="15.75">
      <c r="A166" s="80"/>
      <c r="B166" s="83"/>
      <c r="C166" s="66" t="s">
        <v>319</v>
      </c>
      <c r="D166" s="66" t="s">
        <v>17</v>
      </c>
      <c r="E166" s="84">
        <v>10.06</v>
      </c>
      <c r="F166" s="84">
        <f>E166*F163</f>
        <v>390.328</v>
      </c>
      <c r="G166" s="67"/>
      <c r="H166" s="79"/>
    </row>
    <row r="167" spans="1:8" ht="15.75">
      <c r="A167" s="80"/>
      <c r="B167" s="83"/>
      <c r="C167" s="66" t="s">
        <v>19</v>
      </c>
      <c r="D167" s="66" t="s">
        <v>23</v>
      </c>
      <c r="E167" s="84">
        <v>0.1</v>
      </c>
      <c r="F167" s="84">
        <f>F163*E167</f>
        <v>3.88</v>
      </c>
      <c r="G167" s="67"/>
      <c r="H167" s="79"/>
    </row>
    <row r="168" spans="1:8" ht="38.25">
      <c r="A168" s="142">
        <v>28</v>
      </c>
      <c r="B168" s="153" t="s">
        <v>320</v>
      </c>
      <c r="C168" s="132" t="s">
        <v>321</v>
      </c>
      <c r="D168" s="132" t="s">
        <v>9</v>
      </c>
      <c r="E168" s="138"/>
      <c r="F168" s="138">
        <f>(F74+F79)/100</f>
        <v>11</v>
      </c>
      <c r="G168" s="134"/>
      <c r="H168" s="134"/>
    </row>
    <row r="169" spans="1:8" ht="15.75">
      <c r="A169" s="80"/>
      <c r="B169" s="83"/>
      <c r="C169" s="66" t="s">
        <v>42</v>
      </c>
      <c r="D169" s="66" t="s">
        <v>10</v>
      </c>
      <c r="E169" s="84">
        <v>4.24</v>
      </c>
      <c r="F169" s="84">
        <f>E169*F168</f>
        <v>46.64</v>
      </c>
      <c r="G169" s="67"/>
      <c r="H169" s="79"/>
    </row>
    <row r="170" spans="1:8" s="76" customFormat="1" ht="13.5">
      <c r="A170" s="80"/>
      <c r="B170" s="83"/>
      <c r="C170" s="66" t="s">
        <v>259</v>
      </c>
      <c r="D170" s="66" t="s">
        <v>23</v>
      </c>
      <c r="E170" s="84">
        <v>0.21</v>
      </c>
      <c r="F170" s="84">
        <f>E170*F168</f>
        <v>2.31</v>
      </c>
      <c r="G170" s="67"/>
      <c r="H170" s="79"/>
    </row>
    <row r="171" spans="1:8" s="127" customFormat="1" ht="13.5">
      <c r="A171" s="80"/>
      <c r="B171" s="83"/>
      <c r="C171" s="66" t="s">
        <v>322</v>
      </c>
      <c r="D171" s="66" t="s">
        <v>15</v>
      </c>
      <c r="E171" s="84">
        <v>0.15</v>
      </c>
      <c r="F171" s="84">
        <f>E171*F168</f>
        <v>1.65</v>
      </c>
      <c r="G171" s="141"/>
      <c r="H171" s="79"/>
    </row>
    <row r="172" spans="1:8" s="163" customFormat="1" ht="40.5">
      <c r="A172" s="131">
        <v>29</v>
      </c>
      <c r="B172" s="162" t="s">
        <v>313</v>
      </c>
      <c r="C172" s="132" t="s">
        <v>324</v>
      </c>
      <c r="D172" s="131" t="s">
        <v>314</v>
      </c>
      <c r="E172" s="154"/>
      <c r="F172" s="134">
        <f>F79/100</f>
        <v>2</v>
      </c>
      <c r="G172" s="131"/>
      <c r="H172" s="135"/>
    </row>
    <row r="173" spans="1:8" ht="15.75">
      <c r="A173" s="80"/>
      <c r="B173" s="83"/>
      <c r="C173" s="66" t="s">
        <v>47</v>
      </c>
      <c r="D173" s="66" t="s">
        <v>10</v>
      </c>
      <c r="E173" s="84">
        <f>11.8+4.6</f>
        <v>16.4</v>
      </c>
      <c r="F173" s="84">
        <f>F172*E173</f>
        <v>32.8</v>
      </c>
      <c r="G173" s="67"/>
      <c r="H173" s="79"/>
    </row>
    <row r="174" spans="1:8" ht="15.75">
      <c r="A174" s="80"/>
      <c r="B174" s="83"/>
      <c r="C174" s="66" t="s">
        <v>315</v>
      </c>
      <c r="D174" s="66" t="s">
        <v>17</v>
      </c>
      <c r="E174" s="84">
        <f>20.8+11</f>
        <v>31.8</v>
      </c>
      <c r="F174" s="84">
        <f>F172*E174</f>
        <v>63.6</v>
      </c>
      <c r="G174" s="67"/>
      <c r="H174" s="79"/>
    </row>
    <row r="175" spans="1:8" ht="15.75">
      <c r="A175" s="80"/>
      <c r="B175" s="83"/>
      <c r="C175" s="66" t="s">
        <v>19</v>
      </c>
      <c r="D175" s="66" t="s">
        <v>23</v>
      </c>
      <c r="E175" s="84">
        <f>0.12+0.08</f>
        <v>0.2</v>
      </c>
      <c r="F175" s="84">
        <f>F172*E175</f>
        <v>0.4</v>
      </c>
      <c r="G175" s="67"/>
      <c r="H175" s="79"/>
    </row>
    <row r="176" spans="1:8" s="163" customFormat="1" ht="40.5">
      <c r="A176" s="131">
        <v>30</v>
      </c>
      <c r="B176" s="162" t="s">
        <v>313</v>
      </c>
      <c r="C176" s="132" t="s">
        <v>323</v>
      </c>
      <c r="D176" s="131" t="s">
        <v>314</v>
      </c>
      <c r="E176" s="154"/>
      <c r="F176" s="134">
        <f>F74/100</f>
        <v>9</v>
      </c>
      <c r="G176" s="131"/>
      <c r="H176" s="135"/>
    </row>
    <row r="177" spans="1:8" ht="15.75">
      <c r="A177" s="80"/>
      <c r="B177" s="83"/>
      <c r="C177" s="66" t="s">
        <v>47</v>
      </c>
      <c r="D177" s="66" t="s">
        <v>10</v>
      </c>
      <c r="E177" s="84">
        <f>11.8+4.6</f>
        <v>16.4</v>
      </c>
      <c r="F177" s="84">
        <f>F176*E177</f>
        <v>147.6</v>
      </c>
      <c r="G177" s="67"/>
      <c r="H177" s="79"/>
    </row>
    <row r="178" spans="1:8" ht="15.75">
      <c r="A178" s="80"/>
      <c r="B178" s="83"/>
      <c r="C178" s="66" t="s">
        <v>325</v>
      </c>
      <c r="D178" s="66" t="s">
        <v>17</v>
      </c>
      <c r="E178" s="84">
        <f>20.8+11</f>
        <v>31.8</v>
      </c>
      <c r="F178" s="84">
        <f>F176*E178</f>
        <v>286.2</v>
      </c>
      <c r="G178" s="67"/>
      <c r="H178" s="79"/>
    </row>
    <row r="179" spans="1:8" ht="15.75">
      <c r="A179" s="80"/>
      <c r="B179" s="83"/>
      <c r="C179" s="66" t="s">
        <v>19</v>
      </c>
      <c r="D179" s="66" t="s">
        <v>23</v>
      </c>
      <c r="E179" s="84">
        <f>0.12+0.08</f>
        <v>0.2</v>
      </c>
      <c r="F179" s="84">
        <f>F176*E179</f>
        <v>1.8</v>
      </c>
      <c r="G179" s="67"/>
      <c r="H179" s="79"/>
    </row>
    <row r="180" spans="1:8" ht="40.5">
      <c r="A180" s="131">
        <v>31</v>
      </c>
      <c r="B180" s="132" t="s">
        <v>303</v>
      </c>
      <c r="C180" s="132" t="s">
        <v>308</v>
      </c>
      <c r="D180" s="132" t="s">
        <v>57</v>
      </c>
      <c r="E180" s="133"/>
      <c r="F180" s="131">
        <f>0.9*1.5*2+1.45*2.25*8</f>
        <v>28.799999999999997</v>
      </c>
      <c r="G180" s="133"/>
      <c r="H180" s="135"/>
    </row>
    <row r="181" spans="1:8" ht="15.75">
      <c r="A181" s="85"/>
      <c r="B181" s="85"/>
      <c r="C181" s="66" t="s">
        <v>47</v>
      </c>
      <c r="D181" s="66" t="s">
        <v>10</v>
      </c>
      <c r="E181" s="85">
        <v>1.11</v>
      </c>
      <c r="F181" s="87">
        <f>E181*F180</f>
        <v>31.968</v>
      </c>
      <c r="G181" s="85"/>
      <c r="H181" s="88"/>
    </row>
    <row r="182" spans="1:8" ht="15.75">
      <c r="A182" s="85"/>
      <c r="B182" s="85"/>
      <c r="C182" s="66" t="s">
        <v>76</v>
      </c>
      <c r="D182" s="85" t="s">
        <v>23</v>
      </c>
      <c r="E182" s="85">
        <v>0.516</v>
      </c>
      <c r="F182" s="87">
        <f>E182*F180</f>
        <v>14.8608</v>
      </c>
      <c r="G182" s="85"/>
      <c r="H182" s="89"/>
    </row>
    <row r="183" spans="1:8" ht="15.75">
      <c r="A183" s="85"/>
      <c r="B183" s="85"/>
      <c r="C183" s="66" t="s">
        <v>304</v>
      </c>
      <c r="D183" s="85" t="s">
        <v>18</v>
      </c>
      <c r="E183" s="85">
        <v>1</v>
      </c>
      <c r="F183" s="85">
        <f>F180*E183</f>
        <v>28.799999999999997</v>
      </c>
      <c r="G183" s="85"/>
      <c r="H183" s="89"/>
    </row>
    <row r="184" spans="1:8" ht="15.75">
      <c r="A184" s="85"/>
      <c r="B184" s="85"/>
      <c r="C184" s="66" t="s">
        <v>186</v>
      </c>
      <c r="D184" s="85" t="s">
        <v>23</v>
      </c>
      <c r="E184" s="85">
        <v>0.054</v>
      </c>
      <c r="F184" s="85">
        <f>E184*F180</f>
        <v>1.5552</v>
      </c>
      <c r="G184" s="85"/>
      <c r="H184" s="89"/>
    </row>
    <row r="185" spans="1:8" ht="54">
      <c r="A185" s="131">
        <v>32</v>
      </c>
      <c r="B185" s="162" t="s">
        <v>305</v>
      </c>
      <c r="C185" s="132" t="s">
        <v>309</v>
      </c>
      <c r="D185" s="132" t="s">
        <v>57</v>
      </c>
      <c r="E185" s="133"/>
      <c r="F185" s="131">
        <f>1.4*2.4*17+1*2.4*7</f>
        <v>73.92</v>
      </c>
      <c r="G185" s="133"/>
      <c r="H185" s="135"/>
    </row>
    <row r="186" spans="1:8" ht="15.75">
      <c r="A186" s="85"/>
      <c r="B186" s="85"/>
      <c r="C186" s="66" t="s">
        <v>47</v>
      </c>
      <c r="D186" s="66" t="s">
        <v>10</v>
      </c>
      <c r="E186" s="85">
        <v>0.914</v>
      </c>
      <c r="F186" s="87">
        <f>E186*F185</f>
        <v>67.56288</v>
      </c>
      <c r="G186" s="85"/>
      <c r="H186" s="88"/>
    </row>
    <row r="187" spans="1:8" ht="15.75">
      <c r="A187" s="85"/>
      <c r="B187" s="85"/>
      <c r="C187" s="66" t="s">
        <v>76</v>
      </c>
      <c r="D187" s="85" t="s">
        <v>23</v>
      </c>
      <c r="E187" s="85">
        <v>0.353</v>
      </c>
      <c r="F187" s="87">
        <f>E187*F185</f>
        <v>26.09376</v>
      </c>
      <c r="G187" s="85"/>
      <c r="H187" s="89"/>
    </row>
    <row r="188" spans="1:8" ht="15.75">
      <c r="A188" s="85"/>
      <c r="B188" s="85"/>
      <c r="C188" s="66" t="s">
        <v>311</v>
      </c>
      <c r="D188" s="85" t="s">
        <v>18</v>
      </c>
      <c r="E188" s="85">
        <v>1</v>
      </c>
      <c r="F188" s="85">
        <f>F185*E188</f>
        <v>73.92</v>
      </c>
      <c r="G188" s="85"/>
      <c r="H188" s="89"/>
    </row>
    <row r="189" spans="1:8" ht="27">
      <c r="A189" s="85"/>
      <c r="B189" s="85"/>
      <c r="C189" s="66" t="s">
        <v>306</v>
      </c>
      <c r="D189" s="85" t="s">
        <v>307</v>
      </c>
      <c r="E189" s="85" t="s">
        <v>172</v>
      </c>
      <c r="F189" s="85">
        <v>24</v>
      </c>
      <c r="G189" s="85"/>
      <c r="H189" s="89"/>
    </row>
    <row r="190" spans="1:8" ht="15.75">
      <c r="A190" s="85"/>
      <c r="B190" s="85"/>
      <c r="C190" s="66" t="s">
        <v>186</v>
      </c>
      <c r="D190" s="85" t="s">
        <v>23</v>
      </c>
      <c r="E190" s="85">
        <v>0.18</v>
      </c>
      <c r="F190" s="87">
        <f>E190*F185</f>
        <v>13.3056</v>
      </c>
      <c r="G190" s="85"/>
      <c r="H190" s="89"/>
    </row>
    <row r="191" spans="1:8" s="139" customFormat="1" ht="38.25">
      <c r="A191" s="142">
        <v>33</v>
      </c>
      <c r="B191" s="153" t="s">
        <v>281</v>
      </c>
      <c r="C191" s="132" t="s">
        <v>310</v>
      </c>
      <c r="D191" s="132" t="s">
        <v>57</v>
      </c>
      <c r="E191" s="132"/>
      <c r="F191" s="134">
        <f>2.25+1.45*10</f>
        <v>16.75</v>
      </c>
      <c r="G191" s="134"/>
      <c r="H191" s="143"/>
    </row>
    <row r="192" spans="1:8" ht="38.25">
      <c r="A192" s="165">
        <v>34</v>
      </c>
      <c r="B192" s="153" t="s">
        <v>326</v>
      </c>
      <c r="C192" s="132" t="s">
        <v>327</v>
      </c>
      <c r="D192" s="132" t="s">
        <v>9</v>
      </c>
      <c r="E192" s="138"/>
      <c r="F192" s="138">
        <f>F197</f>
        <v>11.765</v>
      </c>
      <c r="G192" s="134"/>
      <c r="H192" s="134"/>
    </row>
    <row r="193" spans="1:8" ht="15.75">
      <c r="A193" s="164"/>
      <c r="B193" s="83"/>
      <c r="C193" s="66" t="s">
        <v>47</v>
      </c>
      <c r="D193" s="66" t="s">
        <v>10</v>
      </c>
      <c r="E193" s="67">
        <v>93</v>
      </c>
      <c r="F193" s="84">
        <f>F192*E193</f>
        <v>1094.145</v>
      </c>
      <c r="G193" s="67"/>
      <c r="H193" s="79"/>
    </row>
    <row r="194" spans="1:8" ht="15.75">
      <c r="A194" s="164"/>
      <c r="B194" s="83"/>
      <c r="C194" s="66" t="s">
        <v>192</v>
      </c>
      <c r="D194" s="66" t="s">
        <v>24</v>
      </c>
      <c r="E194" s="67">
        <v>2.4</v>
      </c>
      <c r="F194" s="84">
        <f>F192*E194</f>
        <v>28.236</v>
      </c>
      <c r="G194" s="67"/>
      <c r="H194" s="79"/>
    </row>
    <row r="195" spans="1:8" ht="15.75">
      <c r="A195" s="164"/>
      <c r="B195" s="83"/>
      <c r="C195" s="66" t="s">
        <v>78</v>
      </c>
      <c r="D195" s="66" t="s">
        <v>23</v>
      </c>
      <c r="E195" s="67">
        <v>2.6</v>
      </c>
      <c r="F195" s="84">
        <f>F192*E195</f>
        <v>30.589000000000002</v>
      </c>
      <c r="G195" s="67"/>
      <c r="H195" s="79"/>
    </row>
    <row r="196" spans="1:8" ht="15.75">
      <c r="A196" s="164"/>
      <c r="B196" s="83"/>
      <c r="C196" s="66" t="s">
        <v>191</v>
      </c>
      <c r="D196" s="66" t="s">
        <v>12</v>
      </c>
      <c r="E196" s="67">
        <v>2.68</v>
      </c>
      <c r="F196" s="84">
        <f>F192*E196</f>
        <v>31.530200000000004</v>
      </c>
      <c r="G196" s="67"/>
      <c r="H196" s="79"/>
    </row>
    <row r="197" spans="1:8" ht="38.25">
      <c r="A197" s="142">
        <v>35</v>
      </c>
      <c r="B197" s="153" t="s">
        <v>293</v>
      </c>
      <c r="C197" s="132" t="s">
        <v>329</v>
      </c>
      <c r="D197" s="132" t="s">
        <v>9</v>
      </c>
      <c r="E197" s="138"/>
      <c r="F197" s="146">
        <v>11.765</v>
      </c>
      <c r="G197" s="134"/>
      <c r="H197" s="134"/>
    </row>
    <row r="198" spans="1:8" ht="15.75">
      <c r="A198" s="80"/>
      <c r="B198" s="83"/>
      <c r="C198" s="66" t="s">
        <v>47</v>
      </c>
      <c r="D198" s="66" t="s">
        <v>10</v>
      </c>
      <c r="E198" s="67">
        <v>65.8</v>
      </c>
      <c r="F198" s="84">
        <f>F197*E198</f>
        <v>774.1370000000001</v>
      </c>
      <c r="G198" s="141"/>
      <c r="H198" s="79"/>
    </row>
    <row r="199" spans="1:8" ht="15.75">
      <c r="A199" s="80"/>
      <c r="B199" s="83"/>
      <c r="C199" s="66" t="s">
        <v>49</v>
      </c>
      <c r="D199" s="66" t="s">
        <v>23</v>
      </c>
      <c r="E199" s="67">
        <v>1</v>
      </c>
      <c r="F199" s="84">
        <f>F197*E199</f>
        <v>11.765</v>
      </c>
      <c r="G199" s="141"/>
      <c r="H199" s="79"/>
    </row>
    <row r="200" spans="1:8" ht="15.75">
      <c r="A200" s="80"/>
      <c r="B200" s="83"/>
      <c r="C200" s="66" t="s">
        <v>294</v>
      </c>
      <c r="D200" s="66" t="s">
        <v>17</v>
      </c>
      <c r="E200" s="67">
        <v>63</v>
      </c>
      <c r="F200" s="84">
        <f>F197*E200</f>
        <v>741.195</v>
      </c>
      <c r="G200" s="141"/>
      <c r="H200" s="79"/>
    </row>
    <row r="201" spans="1:8" ht="15.75">
      <c r="A201" s="80"/>
      <c r="B201" s="83"/>
      <c r="C201" s="66" t="s">
        <v>295</v>
      </c>
      <c r="D201" s="66" t="s">
        <v>17</v>
      </c>
      <c r="E201" s="67">
        <v>79</v>
      </c>
      <c r="F201" s="84">
        <f>F197*E201</f>
        <v>929.4350000000001</v>
      </c>
      <c r="G201" s="141"/>
      <c r="H201" s="79"/>
    </row>
    <row r="202" spans="1:8" ht="15.75">
      <c r="A202" s="80"/>
      <c r="B202" s="83"/>
      <c r="C202" s="66" t="s">
        <v>296</v>
      </c>
      <c r="D202" s="66" t="s">
        <v>23</v>
      </c>
      <c r="E202" s="67">
        <v>1.6</v>
      </c>
      <c r="F202" s="84">
        <f>F197*E202</f>
        <v>18.824</v>
      </c>
      <c r="G202" s="141"/>
      <c r="H202" s="79"/>
    </row>
    <row r="203" spans="1:8" s="111" customFormat="1" ht="40.5">
      <c r="A203" s="131">
        <v>36</v>
      </c>
      <c r="B203" s="132" t="s">
        <v>335</v>
      </c>
      <c r="C203" s="132" t="s">
        <v>337</v>
      </c>
      <c r="D203" s="131" t="s">
        <v>219</v>
      </c>
      <c r="E203" s="131"/>
      <c r="F203" s="150">
        <v>0.49</v>
      </c>
      <c r="G203" s="131"/>
      <c r="H203" s="150"/>
    </row>
    <row r="204" spans="1:8" s="111" customFormat="1" ht="13.5">
      <c r="A204" s="85"/>
      <c r="B204" s="149"/>
      <c r="C204" s="85" t="s">
        <v>212</v>
      </c>
      <c r="D204" s="85" t="s">
        <v>10</v>
      </c>
      <c r="E204" s="88">
        <v>22.6</v>
      </c>
      <c r="F204" s="89">
        <f>E204*F203</f>
        <v>11.074</v>
      </c>
      <c r="G204" s="88"/>
      <c r="H204" s="89"/>
    </row>
    <row r="205" spans="1:8" s="111" customFormat="1" ht="13.5">
      <c r="A205" s="85"/>
      <c r="B205" s="149"/>
      <c r="C205" s="85" t="s">
        <v>336</v>
      </c>
      <c r="D205" s="85" t="s">
        <v>24</v>
      </c>
      <c r="E205" s="89">
        <v>5.45</v>
      </c>
      <c r="F205" s="89">
        <f>E205*F203</f>
        <v>2.6705</v>
      </c>
      <c r="G205" s="89"/>
      <c r="H205" s="89"/>
    </row>
    <row r="206" spans="1:8" s="76" customFormat="1" ht="13.5">
      <c r="A206" s="90"/>
      <c r="B206" s="77"/>
      <c r="C206" s="66" t="s">
        <v>49</v>
      </c>
      <c r="D206" s="66" t="s">
        <v>23</v>
      </c>
      <c r="E206" s="84">
        <v>1.33</v>
      </c>
      <c r="F206" s="84">
        <f>F203*E206</f>
        <v>0.6517000000000001</v>
      </c>
      <c r="G206" s="67"/>
      <c r="H206" s="79"/>
    </row>
    <row r="207" spans="1:8" s="111" customFormat="1" ht="13.5">
      <c r="A207" s="85"/>
      <c r="B207" s="149"/>
      <c r="C207" s="85" t="s">
        <v>338</v>
      </c>
      <c r="D207" s="85" t="s">
        <v>22</v>
      </c>
      <c r="E207" s="85" t="s">
        <v>254</v>
      </c>
      <c r="F207" s="89">
        <v>62.33</v>
      </c>
      <c r="G207" s="85"/>
      <c r="H207" s="89"/>
    </row>
    <row r="208" spans="1:8" s="111" customFormat="1" ht="13.5">
      <c r="A208" s="85"/>
      <c r="B208" s="149"/>
      <c r="C208" s="85" t="s">
        <v>339</v>
      </c>
      <c r="D208" s="85" t="s">
        <v>22</v>
      </c>
      <c r="E208" s="85" t="s">
        <v>254</v>
      </c>
      <c r="F208" s="89">
        <v>92</v>
      </c>
      <c r="G208" s="85"/>
      <c r="H208" s="89"/>
    </row>
    <row r="209" spans="1:8" s="111" customFormat="1" ht="13.5">
      <c r="A209" s="85"/>
      <c r="B209" s="149"/>
      <c r="C209" s="85" t="s">
        <v>185</v>
      </c>
      <c r="D209" s="85" t="s">
        <v>17</v>
      </c>
      <c r="E209" s="85">
        <v>2.4</v>
      </c>
      <c r="F209" s="89">
        <f>E209*F203</f>
        <v>1.176</v>
      </c>
      <c r="G209" s="88"/>
      <c r="H209" s="89"/>
    </row>
    <row r="210" spans="1:8" s="127" customFormat="1" ht="13.5">
      <c r="A210" s="90"/>
      <c r="B210" s="77"/>
      <c r="C210" s="66" t="s">
        <v>19</v>
      </c>
      <c r="D210" s="66" t="s">
        <v>23</v>
      </c>
      <c r="E210" s="84">
        <v>2.78</v>
      </c>
      <c r="F210" s="84">
        <f>F206*E210</f>
        <v>1.811726</v>
      </c>
      <c r="G210" s="67"/>
      <c r="H210" s="79"/>
    </row>
    <row r="211" spans="1:8" s="166" customFormat="1" ht="40.5">
      <c r="A211" s="131">
        <v>37</v>
      </c>
      <c r="B211" s="162" t="s">
        <v>340</v>
      </c>
      <c r="C211" s="167" t="s">
        <v>341</v>
      </c>
      <c r="D211" s="131" t="s">
        <v>9</v>
      </c>
      <c r="E211" s="131"/>
      <c r="F211" s="150">
        <f>(0.8*8.8*10+(4.8*3+3.5+1.5*3+1.4*3)*2)/100</f>
        <v>1.236</v>
      </c>
      <c r="G211" s="131"/>
      <c r="H211" s="168"/>
    </row>
    <row r="212" spans="1:8" s="50" customFormat="1" ht="15.75">
      <c r="A212" s="15"/>
      <c r="B212" s="83"/>
      <c r="C212" s="66" t="s">
        <v>47</v>
      </c>
      <c r="D212" s="66" t="s">
        <v>10</v>
      </c>
      <c r="E212" s="84">
        <v>6.2</v>
      </c>
      <c r="F212" s="84">
        <f>F211*E212</f>
        <v>7.6632</v>
      </c>
      <c r="G212" s="67"/>
      <c r="H212" s="79"/>
    </row>
    <row r="213" spans="1:8" s="50" customFormat="1" ht="15.75">
      <c r="A213" s="15"/>
      <c r="B213" s="83"/>
      <c r="C213" s="66" t="s">
        <v>342</v>
      </c>
      <c r="D213" s="66" t="s">
        <v>17</v>
      </c>
      <c r="E213" s="84">
        <v>4.74</v>
      </c>
      <c r="F213" s="84">
        <f>F211*E213</f>
        <v>5.85864</v>
      </c>
      <c r="G213" s="67"/>
      <c r="H213" s="79"/>
    </row>
    <row r="214" spans="1:8" s="50" customFormat="1" ht="15.75">
      <c r="A214" s="15"/>
      <c r="B214" s="83"/>
      <c r="C214" s="66" t="s">
        <v>343</v>
      </c>
      <c r="D214" s="66" t="s">
        <v>17</v>
      </c>
      <c r="E214" s="84">
        <v>0.5</v>
      </c>
      <c r="F214" s="84">
        <f>F211*E214</f>
        <v>0.618</v>
      </c>
      <c r="G214" s="67"/>
      <c r="H214" s="79"/>
    </row>
    <row r="215" spans="1:8" s="50" customFormat="1" ht="15.75">
      <c r="A215" s="15"/>
      <c r="B215" s="83"/>
      <c r="C215" s="66" t="s">
        <v>19</v>
      </c>
      <c r="D215" s="66" t="s">
        <v>23</v>
      </c>
      <c r="E215" s="84">
        <v>0.04</v>
      </c>
      <c r="F215" s="84">
        <f>F211*E215</f>
        <v>0.04944</v>
      </c>
      <c r="G215" s="67"/>
      <c r="H215" s="79"/>
    </row>
    <row r="216" spans="1:8" s="111" customFormat="1" ht="40.5">
      <c r="A216" s="131">
        <v>38</v>
      </c>
      <c r="B216" s="132" t="s">
        <v>255</v>
      </c>
      <c r="C216" s="132" t="s">
        <v>344</v>
      </c>
      <c r="D216" s="131" t="s">
        <v>252</v>
      </c>
      <c r="E216" s="131"/>
      <c r="F216" s="150">
        <v>120</v>
      </c>
      <c r="G216" s="133"/>
      <c r="H216" s="150"/>
    </row>
    <row r="217" spans="1:8" s="111" customFormat="1" ht="13.5">
      <c r="A217" s="85"/>
      <c r="B217" s="85"/>
      <c r="C217" s="85" t="s">
        <v>212</v>
      </c>
      <c r="D217" s="85" t="s">
        <v>10</v>
      </c>
      <c r="E217" s="85">
        <v>0.8</v>
      </c>
      <c r="F217" s="89">
        <f>F216*E217</f>
        <v>96</v>
      </c>
      <c r="G217" s="88"/>
      <c r="H217" s="89"/>
    </row>
    <row r="218" spans="1:8" s="111" customFormat="1" ht="27">
      <c r="A218" s="85"/>
      <c r="B218" s="85"/>
      <c r="C218" s="66" t="s">
        <v>345</v>
      </c>
      <c r="D218" s="85" t="s">
        <v>252</v>
      </c>
      <c r="E218" s="85" t="s">
        <v>254</v>
      </c>
      <c r="F218" s="89">
        <f>F216*1.1</f>
        <v>132</v>
      </c>
      <c r="G218" s="88"/>
      <c r="H218" s="89"/>
    </row>
    <row r="219" spans="1:8" s="111" customFormat="1" ht="13.5">
      <c r="A219" s="85"/>
      <c r="B219" s="85"/>
      <c r="C219" s="66" t="s">
        <v>76</v>
      </c>
      <c r="D219" s="85" t="s">
        <v>23</v>
      </c>
      <c r="E219" s="85">
        <v>0.099</v>
      </c>
      <c r="F219" s="89">
        <f>E219*F216</f>
        <v>11.88</v>
      </c>
      <c r="G219" s="88"/>
      <c r="H219" s="89"/>
    </row>
    <row r="220" spans="1:8" s="111" customFormat="1" ht="13.5">
      <c r="A220" s="85"/>
      <c r="B220" s="149"/>
      <c r="C220" s="85" t="s">
        <v>186</v>
      </c>
      <c r="D220" s="85" t="s">
        <v>23</v>
      </c>
      <c r="E220" s="85">
        <v>0.0134</v>
      </c>
      <c r="F220" s="89">
        <f>E220*F216</f>
        <v>1.608</v>
      </c>
      <c r="G220" s="85"/>
      <c r="H220" s="89"/>
    </row>
    <row r="221" spans="1:8" s="163" customFormat="1" ht="40.5">
      <c r="A221" s="131">
        <v>39</v>
      </c>
      <c r="B221" s="162" t="s">
        <v>313</v>
      </c>
      <c r="C221" s="132" t="s">
        <v>346</v>
      </c>
      <c r="D221" s="131" t="s">
        <v>314</v>
      </c>
      <c r="E221" s="154"/>
      <c r="F221" s="134">
        <v>1.2</v>
      </c>
      <c r="G221" s="131"/>
      <c r="H221" s="135"/>
    </row>
    <row r="222" spans="1:8" ht="15.75">
      <c r="A222" s="80"/>
      <c r="B222" s="83"/>
      <c r="C222" s="66" t="s">
        <v>47</v>
      </c>
      <c r="D222" s="66" t="s">
        <v>10</v>
      </c>
      <c r="E222" s="84">
        <f>11.8+4.6</f>
        <v>16.4</v>
      </c>
      <c r="F222" s="84">
        <f>F221*E222</f>
        <v>19.679999999999996</v>
      </c>
      <c r="G222" s="67"/>
      <c r="H222" s="79"/>
    </row>
    <row r="223" spans="1:8" ht="15.75">
      <c r="A223" s="80"/>
      <c r="B223" s="83"/>
      <c r="C223" s="66" t="s">
        <v>315</v>
      </c>
      <c r="D223" s="66" t="s">
        <v>17</v>
      </c>
      <c r="E223" s="84">
        <f>20.8+11</f>
        <v>31.8</v>
      </c>
      <c r="F223" s="84">
        <f>F221*E223</f>
        <v>38.16</v>
      </c>
      <c r="G223" s="67"/>
      <c r="H223" s="79"/>
    </row>
    <row r="224" spans="1:8" ht="15.75">
      <c r="A224" s="80"/>
      <c r="B224" s="83"/>
      <c r="C224" s="66" t="s">
        <v>19</v>
      </c>
      <c r="D224" s="66" t="s">
        <v>23</v>
      </c>
      <c r="E224" s="84">
        <f>0.12+0.08</f>
        <v>0.2</v>
      </c>
      <c r="F224" s="84">
        <f>F221*E224</f>
        <v>0.24</v>
      </c>
      <c r="G224" s="67"/>
      <c r="H224" s="79"/>
    </row>
    <row r="225" spans="1:8" ht="40.5">
      <c r="A225" s="131">
        <v>40</v>
      </c>
      <c r="B225" s="132" t="s">
        <v>331</v>
      </c>
      <c r="C225" s="132" t="s">
        <v>332</v>
      </c>
      <c r="D225" s="131" t="s">
        <v>96</v>
      </c>
      <c r="E225" s="131"/>
      <c r="F225" s="131">
        <v>18.4</v>
      </c>
      <c r="G225" s="131"/>
      <c r="H225" s="135"/>
    </row>
    <row r="226" spans="1:8" ht="27">
      <c r="A226" s="85"/>
      <c r="B226" s="85"/>
      <c r="C226" s="66" t="s">
        <v>333</v>
      </c>
      <c r="D226" s="85" t="s">
        <v>96</v>
      </c>
      <c r="E226" s="85" t="s">
        <v>172</v>
      </c>
      <c r="F226" s="85">
        <f>F225</f>
        <v>18.4</v>
      </c>
      <c r="G226" s="85"/>
      <c r="H226" s="88"/>
    </row>
    <row r="227" spans="1:8" ht="15.75">
      <c r="A227" s="85"/>
      <c r="B227" s="85"/>
      <c r="C227" s="66" t="s">
        <v>334</v>
      </c>
      <c r="D227" s="85" t="s">
        <v>21</v>
      </c>
      <c r="E227" s="85" t="s">
        <v>172</v>
      </c>
      <c r="F227" s="85">
        <v>3</v>
      </c>
      <c r="G227" s="85"/>
      <c r="H227" s="88"/>
    </row>
    <row r="228" spans="1:8" ht="15.75">
      <c r="A228" s="85"/>
      <c r="B228" s="85"/>
      <c r="C228" s="66" t="s">
        <v>119</v>
      </c>
      <c r="D228" s="85" t="s">
        <v>17</v>
      </c>
      <c r="E228" s="85" t="s">
        <v>172</v>
      </c>
      <c r="F228" s="85">
        <v>8</v>
      </c>
      <c r="G228" s="85"/>
      <c r="H228" s="88"/>
    </row>
    <row r="229" spans="1:8" ht="15.75">
      <c r="A229" s="85"/>
      <c r="B229" s="85"/>
      <c r="C229" s="66" t="s">
        <v>55</v>
      </c>
      <c r="D229" s="85" t="s">
        <v>10</v>
      </c>
      <c r="E229" s="85">
        <v>5.4</v>
      </c>
      <c r="F229" s="85">
        <f>F225*E229</f>
        <v>99.36</v>
      </c>
      <c r="G229" s="85"/>
      <c r="H229" s="88"/>
    </row>
    <row r="230" spans="1:8" s="184" customFormat="1" ht="40.5">
      <c r="A230" s="131">
        <v>41</v>
      </c>
      <c r="B230" s="132" t="s">
        <v>331</v>
      </c>
      <c r="C230" s="132" t="s">
        <v>369</v>
      </c>
      <c r="D230" s="131" t="s">
        <v>96</v>
      </c>
      <c r="E230" s="131"/>
      <c r="F230" s="131">
        <v>2</v>
      </c>
      <c r="G230" s="131"/>
      <c r="H230" s="135"/>
    </row>
    <row r="231" spans="1:8" s="184" customFormat="1" ht="15.75">
      <c r="A231" s="85"/>
      <c r="B231" s="85"/>
      <c r="C231" s="66" t="s">
        <v>370</v>
      </c>
      <c r="D231" s="85" t="s">
        <v>96</v>
      </c>
      <c r="E231" s="85" t="s">
        <v>172</v>
      </c>
      <c r="F231" s="85">
        <v>5</v>
      </c>
      <c r="G231" s="85"/>
      <c r="H231" s="88"/>
    </row>
    <row r="232" spans="1:8" s="184" customFormat="1" ht="15.75">
      <c r="A232" s="85"/>
      <c r="B232" s="85"/>
      <c r="C232" s="66" t="s">
        <v>371</v>
      </c>
      <c r="D232" s="85" t="s">
        <v>57</v>
      </c>
      <c r="E232" s="85" t="s">
        <v>172</v>
      </c>
      <c r="F232" s="85">
        <f>1.5*2</f>
        <v>3</v>
      </c>
      <c r="G232" s="85"/>
      <c r="H232" s="88"/>
    </row>
    <row r="233" spans="1:8" s="111" customFormat="1" ht="13.5">
      <c r="A233" s="85"/>
      <c r="B233" s="149"/>
      <c r="C233" s="85" t="s">
        <v>185</v>
      </c>
      <c r="D233" s="85" t="s">
        <v>17</v>
      </c>
      <c r="E233" s="85">
        <v>2.4</v>
      </c>
      <c r="F233" s="89">
        <f>E233*F230</f>
        <v>4.8</v>
      </c>
      <c r="G233" s="88"/>
      <c r="H233" s="89"/>
    </row>
    <row r="234" spans="1:8" s="185" customFormat="1" ht="13.5">
      <c r="A234" s="90"/>
      <c r="B234" s="77"/>
      <c r="C234" s="66" t="s">
        <v>19</v>
      </c>
      <c r="D234" s="66" t="s">
        <v>23</v>
      </c>
      <c r="E234" s="84">
        <v>2.78</v>
      </c>
      <c r="F234" s="84">
        <f>F230*E234</f>
        <v>5.56</v>
      </c>
      <c r="G234" s="67"/>
      <c r="H234" s="79"/>
    </row>
    <row r="235" spans="1:8" s="184" customFormat="1" ht="15.75">
      <c r="A235" s="85"/>
      <c r="B235" s="85"/>
      <c r="C235" s="66" t="s">
        <v>119</v>
      </c>
      <c r="D235" s="85" t="s">
        <v>17</v>
      </c>
      <c r="E235" s="85" t="s">
        <v>172</v>
      </c>
      <c r="F235" s="85">
        <v>8</v>
      </c>
      <c r="G235" s="85"/>
      <c r="H235" s="88"/>
    </row>
    <row r="236" spans="1:8" s="184" customFormat="1" ht="15.75">
      <c r="A236" s="85"/>
      <c r="B236" s="85"/>
      <c r="C236" s="66" t="s">
        <v>55</v>
      </c>
      <c r="D236" s="85" t="s">
        <v>10</v>
      </c>
      <c r="E236" s="85">
        <v>5.4</v>
      </c>
      <c r="F236" s="85">
        <f>F230*E236</f>
        <v>10.8</v>
      </c>
      <c r="G236" s="85"/>
      <c r="H236" s="88"/>
    </row>
    <row r="237" spans="1:8" s="169" customFormat="1" ht="40.5">
      <c r="A237" s="142">
        <v>42</v>
      </c>
      <c r="B237" s="153" t="s">
        <v>350</v>
      </c>
      <c r="C237" s="132" t="s">
        <v>351</v>
      </c>
      <c r="D237" s="132" t="s">
        <v>352</v>
      </c>
      <c r="E237" s="138"/>
      <c r="F237" s="138">
        <f>F197</f>
        <v>11.765</v>
      </c>
      <c r="G237" s="134"/>
      <c r="H237" s="134"/>
    </row>
    <row r="238" spans="1:8" s="169" customFormat="1" ht="15.75">
      <c r="A238" s="10"/>
      <c r="B238" s="31"/>
      <c r="C238" s="8" t="s">
        <v>353</v>
      </c>
      <c r="D238" s="8" t="s">
        <v>217</v>
      </c>
      <c r="E238" s="34">
        <f>45.9</f>
        <v>45.9</v>
      </c>
      <c r="F238" s="84">
        <f>F237*E238</f>
        <v>540.0135</v>
      </c>
      <c r="G238" s="9"/>
      <c r="H238" s="170"/>
    </row>
    <row r="239" spans="1:8" s="169" customFormat="1" ht="15.75">
      <c r="A239" s="10"/>
      <c r="B239" s="31"/>
      <c r="C239" s="8" t="s">
        <v>288</v>
      </c>
      <c r="D239" s="8" t="s">
        <v>51</v>
      </c>
      <c r="E239" s="34">
        <f>0.23</f>
        <v>0.23</v>
      </c>
      <c r="F239" s="84">
        <f>F237*E239</f>
        <v>2.70595</v>
      </c>
      <c r="G239" s="9"/>
      <c r="H239" s="170"/>
    </row>
    <row r="240" spans="1:8" s="169" customFormat="1" ht="15.75">
      <c r="A240" s="10"/>
      <c r="B240" s="31"/>
      <c r="C240" s="8" t="s">
        <v>354</v>
      </c>
      <c r="D240" s="8" t="s">
        <v>52</v>
      </c>
      <c r="E240" s="34">
        <f>0.37</f>
        <v>0.37</v>
      </c>
      <c r="F240" s="84">
        <f>F237*E240</f>
        <v>4.3530500000000005</v>
      </c>
      <c r="G240" s="9"/>
      <c r="H240" s="171"/>
    </row>
    <row r="241" spans="1:8" s="169" customFormat="1" ht="15.75">
      <c r="A241" s="10"/>
      <c r="B241" s="31"/>
      <c r="C241" s="8" t="s">
        <v>355</v>
      </c>
      <c r="D241" s="8" t="s">
        <v>225</v>
      </c>
      <c r="E241" s="34">
        <f>0.009</f>
        <v>0.009</v>
      </c>
      <c r="F241" s="84">
        <f>F237*E241</f>
        <v>0.10588499999999999</v>
      </c>
      <c r="G241" s="9"/>
      <c r="H241" s="170"/>
    </row>
    <row r="242" spans="1:8" s="169" customFormat="1" ht="15.75">
      <c r="A242" s="10"/>
      <c r="B242" s="31"/>
      <c r="C242" s="8" t="s">
        <v>356</v>
      </c>
      <c r="D242" s="8" t="s">
        <v>357</v>
      </c>
      <c r="E242" s="34">
        <f>3.4</f>
        <v>3.4</v>
      </c>
      <c r="F242" s="34">
        <f>F237*E242</f>
        <v>40.001</v>
      </c>
      <c r="G242" s="9"/>
      <c r="H242" s="170"/>
    </row>
    <row r="243" spans="1:8" s="50" customFormat="1" ht="27">
      <c r="A243" s="142">
        <v>43</v>
      </c>
      <c r="B243" s="153" t="s">
        <v>69</v>
      </c>
      <c r="C243" s="132" t="s">
        <v>347</v>
      </c>
      <c r="D243" s="132" t="s">
        <v>52</v>
      </c>
      <c r="E243" s="138"/>
      <c r="F243" s="138">
        <v>200</v>
      </c>
      <c r="G243" s="134"/>
      <c r="H243" s="134"/>
    </row>
    <row r="244" spans="1:8" s="50" customFormat="1" ht="15.75">
      <c r="A244" s="10"/>
      <c r="B244" s="83" t="s">
        <v>69</v>
      </c>
      <c r="C244" s="66" t="s">
        <v>53</v>
      </c>
      <c r="D244" s="66" t="s">
        <v>52</v>
      </c>
      <c r="E244" s="84">
        <v>1</v>
      </c>
      <c r="F244" s="84">
        <f>F243*E244</f>
        <v>200</v>
      </c>
      <c r="G244" s="67"/>
      <c r="H244" s="67"/>
    </row>
    <row r="245" spans="1:9" ht="15.75">
      <c r="A245" s="68"/>
      <c r="B245" s="83"/>
      <c r="C245" s="82" t="s">
        <v>25</v>
      </c>
      <c r="D245" s="82" t="s">
        <v>23</v>
      </c>
      <c r="E245" s="67"/>
      <c r="F245" s="67"/>
      <c r="G245" s="67"/>
      <c r="H245" s="75"/>
      <c r="I245" s="60"/>
    </row>
    <row r="246" spans="1:9" ht="15.75">
      <c r="A246" s="68"/>
      <c r="B246" s="83"/>
      <c r="C246" s="66" t="s">
        <v>205</v>
      </c>
      <c r="D246" s="66" t="s">
        <v>51</v>
      </c>
      <c r="E246" s="67"/>
      <c r="F246" s="67"/>
      <c r="G246" s="67"/>
      <c r="H246" s="67"/>
      <c r="I246" s="60"/>
    </row>
    <row r="247" spans="1:9" ht="15.75">
      <c r="A247" s="68"/>
      <c r="B247" s="83"/>
      <c r="C247" s="66" t="s">
        <v>206</v>
      </c>
      <c r="D247" s="66" t="s">
        <v>51</v>
      </c>
      <c r="E247" s="67"/>
      <c r="F247" s="67"/>
      <c r="G247" s="67"/>
      <c r="H247" s="67"/>
      <c r="I247" s="60"/>
    </row>
    <row r="248" spans="1:8" ht="15.75">
      <c r="A248" s="91"/>
      <c r="B248" s="77"/>
      <c r="C248" s="66" t="s">
        <v>391</v>
      </c>
      <c r="D248" s="66" t="s">
        <v>23</v>
      </c>
      <c r="E248" s="67"/>
      <c r="F248" s="67"/>
      <c r="G248" s="67"/>
      <c r="H248" s="67"/>
    </row>
    <row r="249" spans="1:8" ht="15.75">
      <c r="A249" s="91"/>
      <c r="B249" s="77"/>
      <c r="C249" s="66" t="s">
        <v>25</v>
      </c>
      <c r="D249" s="66" t="s">
        <v>23</v>
      </c>
      <c r="E249" s="67"/>
      <c r="F249" s="67"/>
      <c r="G249" s="67"/>
      <c r="H249" s="67"/>
    </row>
    <row r="250" spans="1:8" ht="15.75">
      <c r="A250" s="91"/>
      <c r="B250" s="77"/>
      <c r="C250" s="66" t="s">
        <v>392</v>
      </c>
      <c r="D250" s="66" t="s">
        <v>23</v>
      </c>
      <c r="E250" s="67"/>
      <c r="F250" s="67"/>
      <c r="G250" s="67"/>
      <c r="H250" s="67"/>
    </row>
    <row r="251" spans="1:8" ht="15.75">
      <c r="A251" s="91"/>
      <c r="B251" s="77"/>
      <c r="C251" s="82" t="s">
        <v>26</v>
      </c>
      <c r="D251" s="82" t="s">
        <v>23</v>
      </c>
      <c r="E251" s="67"/>
      <c r="F251" s="67"/>
      <c r="G251" s="67"/>
      <c r="H251" s="75"/>
    </row>
    <row r="252" spans="1:8" ht="48.75" customHeight="1">
      <c r="A252" s="122"/>
      <c r="B252" s="123"/>
      <c r="C252" s="102"/>
      <c r="D252" s="102"/>
      <c r="E252" s="124"/>
      <c r="F252" s="124"/>
      <c r="G252" s="124"/>
      <c r="H252" s="125"/>
    </row>
    <row r="253" spans="1:8" ht="15.75">
      <c r="A253" s="92"/>
      <c r="C253" s="76"/>
      <c r="D253" s="127"/>
      <c r="E253" s="127"/>
      <c r="F253" s="127"/>
      <c r="G253" s="94" t="s">
        <v>27</v>
      </c>
      <c r="H253" s="128"/>
    </row>
    <row r="254" spans="1:8" ht="15.75">
      <c r="A254" s="92"/>
      <c r="C254" s="127"/>
      <c r="D254" s="127"/>
      <c r="E254" s="127"/>
      <c r="F254" s="203"/>
      <c r="G254" s="203"/>
      <c r="H254" s="128"/>
    </row>
    <row r="256" spans="1:7" ht="15.75">
      <c r="A256" s="96"/>
      <c r="B256" s="96"/>
      <c r="C256" s="96"/>
      <c r="D256" s="96"/>
      <c r="E256" s="96"/>
      <c r="F256" s="96"/>
      <c r="G256" s="97"/>
    </row>
    <row r="257" spans="1:7" ht="15.75">
      <c r="A257" s="96"/>
      <c r="B257" s="96"/>
      <c r="C257" s="96"/>
      <c r="D257" s="96"/>
      <c r="E257" s="96"/>
      <c r="F257" s="96"/>
      <c r="G257" s="97"/>
    </row>
  </sheetData>
  <sheetProtection/>
  <autoFilter ref="G1:G254"/>
  <mergeCells count="11">
    <mergeCell ref="F254:G254"/>
    <mergeCell ref="B6:B7"/>
    <mergeCell ref="C6:C7"/>
    <mergeCell ref="D6:D7"/>
    <mergeCell ref="E6:F6"/>
    <mergeCell ref="A6:A7"/>
    <mergeCell ref="A1:H1"/>
    <mergeCell ref="A2:H2"/>
    <mergeCell ref="A3:H3"/>
    <mergeCell ref="A5:H5"/>
    <mergeCell ref="G6:H6"/>
  </mergeCells>
  <printOptions horizontalCentered="1"/>
  <pageMargins left="0.31" right="0.1968503937007874" top="0.4330708661417323" bottom="0.3937007874015748" header="0.31496062992125984" footer="0.1968503937007874"/>
  <pageSetup horizontalDpi="600" verticalDpi="600" orientation="portrait" paperSize="9" scale="97" r:id="rId1"/>
  <headerFooter scaleWithDoc="0"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101"/>
  <sheetViews>
    <sheetView view="pageBreakPreview" zoomScale="115" zoomScaleSheetLayoutView="115" zoomScalePageLayoutView="0" workbookViewId="0" topLeftCell="A73">
      <selection activeCell="E92" sqref="E92"/>
    </sheetView>
  </sheetViews>
  <sheetFormatPr defaultColWidth="8.8515625" defaultRowHeight="12.75"/>
  <cols>
    <col min="1" max="1" width="4.28125" style="20" customWidth="1"/>
    <col min="2" max="2" width="12.28125" style="53" customWidth="1"/>
    <col min="3" max="3" width="40.28125" style="54" customWidth="1"/>
    <col min="4" max="4" width="8.28125" style="55" customWidth="1"/>
    <col min="5" max="5" width="10.28125" style="48" customWidth="1"/>
    <col min="6" max="6" width="8.57421875" style="47" bestFit="1" customWidth="1"/>
    <col min="7" max="7" width="7.8515625" style="48" customWidth="1"/>
    <col min="8" max="8" width="9.140625" style="49" customWidth="1"/>
    <col min="9" max="16384" width="8.8515625" style="52" customWidth="1"/>
  </cols>
  <sheetData>
    <row r="1" spans="1:8" s="11" customFormat="1" ht="24" customHeight="1">
      <c r="A1" s="211" t="s">
        <v>64</v>
      </c>
      <c r="B1" s="211"/>
      <c r="C1" s="211"/>
      <c r="D1" s="211"/>
      <c r="E1" s="211"/>
      <c r="F1" s="211"/>
      <c r="G1" s="211"/>
      <c r="H1" s="211"/>
    </row>
    <row r="2" spans="1:8" s="11" customFormat="1" ht="21" customHeight="1">
      <c r="A2" s="211" t="str">
        <f>'1-1'!A2:H2</f>
        <v>onis municipalitetis sof Rebis sajaro skolis Senobis reabilitacia</v>
      </c>
      <c r="B2" s="211"/>
      <c r="C2" s="211"/>
      <c r="D2" s="211"/>
      <c r="E2" s="211"/>
      <c r="F2" s="211"/>
      <c r="G2" s="211"/>
      <c r="H2" s="211"/>
    </row>
    <row r="3" spans="1:8" s="11" customFormat="1" ht="21" customHeight="1">
      <c r="A3" s="211" t="s">
        <v>99</v>
      </c>
      <c r="B3" s="211"/>
      <c r="C3" s="211"/>
      <c r="D3" s="211"/>
      <c r="E3" s="211"/>
      <c r="F3" s="211"/>
      <c r="G3" s="211"/>
      <c r="H3" s="211"/>
    </row>
    <row r="4" spans="1:8" s="11" customFormat="1" ht="22.5" customHeight="1">
      <c r="A4" s="212">
        <f>'1-1'!A5:H5</f>
        <v>0</v>
      </c>
      <c r="B4" s="212"/>
      <c r="C4" s="212"/>
      <c r="D4" s="212"/>
      <c r="E4" s="212"/>
      <c r="F4" s="212"/>
      <c r="G4" s="212"/>
      <c r="H4" s="212"/>
    </row>
    <row r="5" spans="1:8" s="11" customFormat="1" ht="30.75" customHeight="1">
      <c r="A5" s="213" t="s">
        <v>1</v>
      </c>
      <c r="B5" s="213" t="s">
        <v>2</v>
      </c>
      <c r="C5" s="215" t="s">
        <v>3</v>
      </c>
      <c r="D5" s="215" t="s">
        <v>4</v>
      </c>
      <c r="E5" s="217" t="s">
        <v>5</v>
      </c>
      <c r="F5" s="218"/>
      <c r="G5" s="217" t="s">
        <v>40</v>
      </c>
      <c r="H5" s="218"/>
    </row>
    <row r="6" spans="1:8" s="11" customFormat="1" ht="66" customHeight="1">
      <c r="A6" s="214"/>
      <c r="B6" s="214"/>
      <c r="C6" s="216"/>
      <c r="D6" s="216"/>
      <c r="E6" s="51" t="s">
        <v>6</v>
      </c>
      <c r="F6" s="51" t="s">
        <v>7</v>
      </c>
      <c r="G6" s="51" t="s">
        <v>6</v>
      </c>
      <c r="H6" s="38" t="s">
        <v>7</v>
      </c>
    </row>
    <row r="7" spans="1:8" s="11" customFormat="1" ht="18.75" customHeight="1">
      <c r="A7" s="29" t="s">
        <v>8</v>
      </c>
      <c r="B7" s="29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0">
        <v>8</v>
      </c>
    </row>
    <row r="8" spans="1:8" s="16" customFormat="1" ht="42" customHeight="1">
      <c r="A8" s="136" t="s">
        <v>8</v>
      </c>
      <c r="B8" s="136" t="s">
        <v>383</v>
      </c>
      <c r="C8" s="132" t="s">
        <v>379</v>
      </c>
      <c r="D8" s="132" t="s">
        <v>101</v>
      </c>
      <c r="E8" s="134"/>
      <c r="F8" s="150">
        <v>36</v>
      </c>
      <c r="G8" s="134"/>
      <c r="H8" s="134"/>
    </row>
    <row r="9" spans="1:8" ht="19.5" customHeight="1">
      <c r="A9" s="39"/>
      <c r="B9" s="29"/>
      <c r="C9" s="8" t="s">
        <v>46</v>
      </c>
      <c r="D9" s="8" t="s">
        <v>10</v>
      </c>
      <c r="E9" s="40">
        <v>1.43</v>
      </c>
      <c r="F9" s="41">
        <f>F8*E9</f>
        <v>51.48</v>
      </c>
      <c r="G9" s="41"/>
      <c r="H9" s="41"/>
    </row>
    <row r="10" spans="1:8" ht="19.5" customHeight="1">
      <c r="A10" s="39"/>
      <c r="B10" s="29"/>
      <c r="C10" s="8" t="s">
        <v>49</v>
      </c>
      <c r="D10" s="8" t="s">
        <v>23</v>
      </c>
      <c r="E10" s="40">
        <v>0.0257</v>
      </c>
      <c r="F10" s="57">
        <f>F8*E10</f>
        <v>0.9252</v>
      </c>
      <c r="G10" s="41"/>
      <c r="H10" s="41"/>
    </row>
    <row r="11" spans="1:8" s="45" customFormat="1" ht="19.5" customHeight="1">
      <c r="A11" s="42"/>
      <c r="B11" s="43"/>
      <c r="C11" s="8" t="s">
        <v>102</v>
      </c>
      <c r="D11" s="8" t="s">
        <v>101</v>
      </c>
      <c r="E11" s="34">
        <f>92.9/100</f>
        <v>0.929</v>
      </c>
      <c r="F11" s="9">
        <f>E11*F8</f>
        <v>33.444</v>
      </c>
      <c r="G11" s="37"/>
      <c r="H11" s="41"/>
    </row>
    <row r="12" spans="1:8" s="45" customFormat="1" ht="19.5" customHeight="1">
      <c r="A12" s="42"/>
      <c r="B12" s="43"/>
      <c r="C12" s="8" t="s">
        <v>380</v>
      </c>
      <c r="D12" s="36" t="s">
        <v>21</v>
      </c>
      <c r="E12" s="34">
        <f>(28+8+4+4+19+32)/100</f>
        <v>0.95</v>
      </c>
      <c r="F12" s="9">
        <f>E12*F8</f>
        <v>34.199999999999996</v>
      </c>
      <c r="G12" s="37"/>
      <c r="H12" s="41"/>
    </row>
    <row r="13" spans="1:8" s="45" customFormat="1" ht="19.5" customHeight="1">
      <c r="A13" s="42"/>
      <c r="B13" s="43"/>
      <c r="C13" s="8" t="s">
        <v>104</v>
      </c>
      <c r="D13" s="8" t="s">
        <v>23</v>
      </c>
      <c r="E13" s="44">
        <v>0.0457</v>
      </c>
      <c r="F13" s="9">
        <f>F8*E13</f>
        <v>1.6452</v>
      </c>
      <c r="G13" s="37"/>
      <c r="H13" s="41"/>
    </row>
    <row r="14" spans="1:8" s="16" customFormat="1" ht="42" customHeight="1">
      <c r="A14" s="136" t="s">
        <v>41</v>
      </c>
      <c r="B14" s="136" t="s">
        <v>382</v>
      </c>
      <c r="C14" s="132" t="s">
        <v>100</v>
      </c>
      <c r="D14" s="132" t="s">
        <v>101</v>
      </c>
      <c r="E14" s="134"/>
      <c r="F14" s="150">
        <v>111.1</v>
      </c>
      <c r="G14" s="134"/>
      <c r="H14" s="134"/>
    </row>
    <row r="15" spans="1:8" ht="19.5" customHeight="1">
      <c r="A15" s="39"/>
      <c r="B15" s="29"/>
      <c r="C15" s="8" t="s">
        <v>46</v>
      </c>
      <c r="D15" s="8" t="s">
        <v>10</v>
      </c>
      <c r="E15" s="40">
        <v>1.17</v>
      </c>
      <c r="F15" s="41">
        <f>F14*E15</f>
        <v>129.987</v>
      </c>
      <c r="G15" s="41"/>
      <c r="H15" s="41"/>
    </row>
    <row r="16" spans="1:8" ht="19.5" customHeight="1">
      <c r="A16" s="39"/>
      <c r="B16" s="29"/>
      <c r="C16" s="8" t="s">
        <v>49</v>
      </c>
      <c r="D16" s="8" t="s">
        <v>23</v>
      </c>
      <c r="E16" s="40">
        <v>0.0172</v>
      </c>
      <c r="F16" s="57">
        <f>F14*E16</f>
        <v>1.91092</v>
      </c>
      <c r="G16" s="41"/>
      <c r="H16" s="41"/>
    </row>
    <row r="17" spans="1:8" s="45" customFormat="1" ht="19.5" customHeight="1">
      <c r="A17" s="42"/>
      <c r="B17" s="43"/>
      <c r="C17" s="8" t="s">
        <v>103</v>
      </c>
      <c r="D17" s="8" t="s">
        <v>101</v>
      </c>
      <c r="E17" s="34">
        <f>93.8/100</f>
        <v>0.938</v>
      </c>
      <c r="F17" s="9">
        <f>E17*F14</f>
        <v>104.21179999999998</v>
      </c>
      <c r="G17" s="37"/>
      <c r="H17" s="41"/>
    </row>
    <row r="18" spans="1:8" s="45" customFormat="1" ht="19.5" customHeight="1">
      <c r="A18" s="42"/>
      <c r="B18" s="43"/>
      <c r="C18" s="8" t="s">
        <v>381</v>
      </c>
      <c r="D18" s="36" t="s">
        <v>21</v>
      </c>
      <c r="E18" s="34">
        <f>(16+8+4+4+13+28)/100</f>
        <v>0.73</v>
      </c>
      <c r="F18" s="9">
        <f>E18*F14</f>
        <v>81.103</v>
      </c>
      <c r="G18" s="37"/>
      <c r="H18" s="41"/>
    </row>
    <row r="19" spans="1:8" s="45" customFormat="1" ht="19.5" customHeight="1">
      <c r="A19" s="42"/>
      <c r="B19" s="43"/>
      <c r="C19" s="8" t="s">
        <v>104</v>
      </c>
      <c r="D19" s="8" t="s">
        <v>23</v>
      </c>
      <c r="E19" s="44">
        <v>0.0393</v>
      </c>
      <c r="F19" s="9">
        <f>F14*E19</f>
        <v>4.36623</v>
      </c>
      <c r="G19" s="37"/>
      <c r="H19" s="41"/>
    </row>
    <row r="20" spans="1:8" s="45" customFormat="1" ht="45" customHeight="1">
      <c r="A20" s="136" t="s">
        <v>11</v>
      </c>
      <c r="B20" s="136" t="s">
        <v>105</v>
      </c>
      <c r="C20" s="132" t="s">
        <v>106</v>
      </c>
      <c r="D20" s="131" t="s">
        <v>21</v>
      </c>
      <c r="E20" s="146"/>
      <c r="F20" s="134">
        <v>6</v>
      </c>
      <c r="G20" s="134"/>
      <c r="H20" s="134"/>
    </row>
    <row r="21" spans="1:8" s="45" customFormat="1" ht="19.5" customHeight="1">
      <c r="A21" s="39"/>
      <c r="B21" s="29"/>
      <c r="C21" s="8" t="s">
        <v>46</v>
      </c>
      <c r="D21" s="8" t="s">
        <v>10</v>
      </c>
      <c r="E21" s="40">
        <v>1.51</v>
      </c>
      <c r="F21" s="41">
        <f>F20*E21</f>
        <v>9.06</v>
      </c>
      <c r="G21" s="41"/>
      <c r="H21" s="41"/>
    </row>
    <row r="22" spans="1:8" ht="19.5" customHeight="1">
      <c r="A22" s="39"/>
      <c r="B22" s="29"/>
      <c r="C22" s="8" t="s">
        <v>48</v>
      </c>
      <c r="D22" s="8" t="s">
        <v>23</v>
      </c>
      <c r="E22" s="40">
        <v>0.13</v>
      </c>
      <c r="F22" s="41">
        <f>F20*E22</f>
        <v>0.78</v>
      </c>
      <c r="G22" s="41"/>
      <c r="H22" s="41"/>
    </row>
    <row r="23" spans="1:8" ht="19.5" customHeight="1">
      <c r="A23" s="42"/>
      <c r="B23" s="43"/>
      <c r="C23" s="8" t="s">
        <v>107</v>
      </c>
      <c r="D23" s="36" t="s">
        <v>21</v>
      </c>
      <c r="E23" s="34" t="s">
        <v>54</v>
      </c>
      <c r="F23" s="37">
        <v>4</v>
      </c>
      <c r="G23" s="37"/>
      <c r="H23" s="41"/>
    </row>
    <row r="24" spans="1:8" ht="19.5" customHeight="1">
      <c r="A24" s="42"/>
      <c r="B24" s="43"/>
      <c r="C24" s="8" t="s">
        <v>108</v>
      </c>
      <c r="D24" s="36" t="s">
        <v>21</v>
      </c>
      <c r="E24" s="34" t="s">
        <v>54</v>
      </c>
      <c r="F24" s="37">
        <v>2</v>
      </c>
      <c r="G24" s="37"/>
      <c r="H24" s="41"/>
    </row>
    <row r="25" spans="1:8" ht="19.5" customHeight="1">
      <c r="A25" s="42"/>
      <c r="B25" s="43"/>
      <c r="C25" s="8" t="s">
        <v>194</v>
      </c>
      <c r="D25" s="36" t="s">
        <v>17</v>
      </c>
      <c r="E25" s="34">
        <v>1.1</v>
      </c>
      <c r="F25" s="37">
        <f>E25*F20</f>
        <v>6.6000000000000005</v>
      </c>
      <c r="G25" s="37"/>
      <c r="H25" s="41"/>
    </row>
    <row r="26" spans="1:8" ht="19.5" customHeight="1">
      <c r="A26" s="42"/>
      <c r="B26" s="43"/>
      <c r="C26" s="8" t="s">
        <v>104</v>
      </c>
      <c r="D26" s="8" t="s">
        <v>23</v>
      </c>
      <c r="E26" s="44">
        <v>0.07</v>
      </c>
      <c r="F26" s="37">
        <f>E26*F20</f>
        <v>0.42000000000000004</v>
      </c>
      <c r="G26" s="37"/>
      <c r="H26" s="41"/>
    </row>
    <row r="27" spans="1:8" s="45" customFormat="1" ht="45" customHeight="1">
      <c r="A27" s="136" t="s">
        <v>13</v>
      </c>
      <c r="B27" s="136" t="s">
        <v>109</v>
      </c>
      <c r="C27" s="132" t="s">
        <v>110</v>
      </c>
      <c r="D27" s="131" t="s">
        <v>21</v>
      </c>
      <c r="E27" s="146"/>
      <c r="F27" s="134">
        <v>10</v>
      </c>
      <c r="G27" s="134"/>
      <c r="H27" s="134"/>
    </row>
    <row r="28" spans="1:8" s="45" customFormat="1" ht="19.5" customHeight="1">
      <c r="A28" s="39"/>
      <c r="B28" s="29"/>
      <c r="C28" s="8" t="s">
        <v>46</v>
      </c>
      <c r="D28" s="8" t="s">
        <v>10</v>
      </c>
      <c r="E28" s="40">
        <v>0.82</v>
      </c>
      <c r="F28" s="41">
        <f>F27*E28</f>
        <v>8.2</v>
      </c>
      <c r="G28" s="41"/>
      <c r="H28" s="41"/>
    </row>
    <row r="29" spans="1:8" ht="19.5" customHeight="1">
      <c r="A29" s="39"/>
      <c r="B29" s="29"/>
      <c r="C29" s="8" t="s">
        <v>48</v>
      </c>
      <c r="D29" s="8" t="s">
        <v>23</v>
      </c>
      <c r="E29" s="40">
        <v>0.01</v>
      </c>
      <c r="F29" s="41">
        <f>F27*E29</f>
        <v>0.1</v>
      </c>
      <c r="G29" s="41"/>
      <c r="H29" s="41"/>
    </row>
    <row r="30" spans="1:8" ht="19.5" customHeight="1">
      <c r="A30" s="42"/>
      <c r="B30" s="43"/>
      <c r="C30" s="8" t="s">
        <v>111</v>
      </c>
      <c r="D30" s="36" t="s">
        <v>21</v>
      </c>
      <c r="E30" s="34" t="s">
        <v>54</v>
      </c>
      <c r="F30" s="37">
        <v>5</v>
      </c>
      <c r="G30" s="37"/>
      <c r="H30" s="41"/>
    </row>
    <row r="31" spans="1:8" ht="19.5" customHeight="1">
      <c r="A31" s="42"/>
      <c r="B31" s="43"/>
      <c r="C31" s="8" t="s">
        <v>112</v>
      </c>
      <c r="D31" s="36" t="s">
        <v>21</v>
      </c>
      <c r="E31" s="34" t="s">
        <v>54</v>
      </c>
      <c r="F31" s="37">
        <v>5</v>
      </c>
      <c r="G31" s="37"/>
      <c r="H31" s="41"/>
    </row>
    <row r="32" spans="1:8" ht="19.5" customHeight="1">
      <c r="A32" s="42"/>
      <c r="B32" s="43"/>
      <c r="C32" s="8" t="s">
        <v>104</v>
      </c>
      <c r="D32" s="8" t="s">
        <v>23</v>
      </c>
      <c r="E32" s="44">
        <v>0.07</v>
      </c>
      <c r="F32" s="37">
        <f>F27*E32</f>
        <v>0.7000000000000001</v>
      </c>
      <c r="G32" s="37"/>
      <c r="H32" s="41"/>
    </row>
    <row r="33" spans="1:8" s="45" customFormat="1" ht="45" customHeight="1">
      <c r="A33" s="136" t="s">
        <v>202</v>
      </c>
      <c r="B33" s="136" t="s">
        <v>113</v>
      </c>
      <c r="C33" s="132" t="s">
        <v>114</v>
      </c>
      <c r="D33" s="132" t="s">
        <v>101</v>
      </c>
      <c r="E33" s="146"/>
      <c r="F33" s="134">
        <f>F8+F14</f>
        <v>147.1</v>
      </c>
      <c r="G33" s="134"/>
      <c r="H33" s="134"/>
    </row>
    <row r="34" spans="1:8" s="45" customFormat="1" ht="19.5" customHeight="1">
      <c r="A34" s="39"/>
      <c r="B34" s="29"/>
      <c r="C34" s="8" t="s">
        <v>46</v>
      </c>
      <c r="D34" s="8" t="s">
        <v>10</v>
      </c>
      <c r="E34" s="40">
        <v>0.0516</v>
      </c>
      <c r="F34" s="41">
        <f>F33*E34</f>
        <v>7.5903599999999996</v>
      </c>
      <c r="G34" s="41"/>
      <c r="H34" s="41"/>
    </row>
    <row r="35" spans="1:8" ht="19.5" customHeight="1">
      <c r="A35" s="42"/>
      <c r="B35" s="43"/>
      <c r="C35" s="8" t="s">
        <v>115</v>
      </c>
      <c r="D35" s="8" t="s">
        <v>12</v>
      </c>
      <c r="E35" s="44">
        <v>0.01</v>
      </c>
      <c r="F35" s="37">
        <f>F33*E35</f>
        <v>1.4709999999999999</v>
      </c>
      <c r="G35" s="37"/>
      <c r="H35" s="41"/>
    </row>
    <row r="36" spans="1:8" ht="19.5" customHeight="1">
      <c r="A36" s="42"/>
      <c r="B36" s="43"/>
      <c r="C36" s="8" t="s">
        <v>104</v>
      </c>
      <c r="D36" s="8" t="s">
        <v>23</v>
      </c>
      <c r="E36" s="44">
        <v>0.0011</v>
      </c>
      <c r="F36" s="37">
        <f>F33*E36</f>
        <v>0.16181</v>
      </c>
      <c r="G36" s="37"/>
      <c r="H36" s="41"/>
    </row>
    <row r="37" spans="1:8" s="11" customFormat="1" ht="48" customHeight="1">
      <c r="A37" s="136" t="s">
        <v>63</v>
      </c>
      <c r="B37" s="136" t="s">
        <v>116</v>
      </c>
      <c r="C37" s="132" t="s">
        <v>117</v>
      </c>
      <c r="D37" s="132" t="s">
        <v>101</v>
      </c>
      <c r="E37" s="146"/>
      <c r="F37" s="134">
        <f>2.1+2.1+1+1+1+1+1.8+1.8+1.8</f>
        <v>13.600000000000001</v>
      </c>
      <c r="G37" s="134"/>
      <c r="H37" s="134"/>
    </row>
    <row r="38" spans="1:8" s="11" customFormat="1" ht="19.5" customHeight="1">
      <c r="A38" s="39"/>
      <c r="B38" s="29"/>
      <c r="C38" s="8" t="s">
        <v>46</v>
      </c>
      <c r="D38" s="8" t="s">
        <v>10</v>
      </c>
      <c r="E38" s="40">
        <v>0.609</v>
      </c>
      <c r="F38" s="41">
        <f>F37*E38</f>
        <v>8.2824</v>
      </c>
      <c r="G38" s="41"/>
      <c r="H38" s="41"/>
    </row>
    <row r="39" spans="1:8" s="11" customFormat="1" ht="19.5" customHeight="1">
      <c r="A39" s="39"/>
      <c r="B39" s="29"/>
      <c r="C39" s="8" t="s">
        <v>48</v>
      </c>
      <c r="D39" s="8" t="s">
        <v>23</v>
      </c>
      <c r="E39" s="40">
        <v>0.0021</v>
      </c>
      <c r="F39" s="41">
        <f>F37*E39</f>
        <v>0.028560000000000002</v>
      </c>
      <c r="G39" s="41"/>
      <c r="H39" s="41"/>
    </row>
    <row r="40" spans="1:8" s="11" customFormat="1" ht="27">
      <c r="A40" s="42"/>
      <c r="B40" s="43"/>
      <c r="C40" s="8" t="s">
        <v>195</v>
      </c>
      <c r="D40" s="8" t="s">
        <v>101</v>
      </c>
      <c r="E40" s="44">
        <v>0.998</v>
      </c>
      <c r="F40" s="37">
        <f>F37*E40</f>
        <v>13.5728</v>
      </c>
      <c r="G40" s="37"/>
      <c r="H40" s="41"/>
    </row>
    <row r="41" spans="1:8" s="11" customFormat="1" ht="19.5" customHeight="1">
      <c r="A41" s="42"/>
      <c r="B41" s="43"/>
      <c r="C41" s="8" t="s">
        <v>118</v>
      </c>
      <c r="D41" s="36" t="s">
        <v>21</v>
      </c>
      <c r="E41" s="34" t="s">
        <v>54</v>
      </c>
      <c r="F41" s="37">
        <v>40</v>
      </c>
      <c r="G41" s="37"/>
      <c r="H41" s="41"/>
    </row>
    <row r="42" spans="1:8" s="11" customFormat="1" ht="19.5" customHeight="1">
      <c r="A42" s="42"/>
      <c r="B42" s="43"/>
      <c r="C42" s="8" t="s">
        <v>119</v>
      </c>
      <c r="D42" s="8" t="s">
        <v>17</v>
      </c>
      <c r="E42" s="44">
        <v>0.14</v>
      </c>
      <c r="F42" s="37">
        <f>F37*E42</f>
        <v>1.9040000000000004</v>
      </c>
      <c r="G42" s="37"/>
      <c r="H42" s="41"/>
    </row>
    <row r="43" spans="1:8" s="11" customFormat="1" ht="19.5" customHeight="1">
      <c r="A43" s="42"/>
      <c r="B43" s="43"/>
      <c r="C43" s="8" t="s">
        <v>104</v>
      </c>
      <c r="D43" s="8" t="s">
        <v>23</v>
      </c>
      <c r="E43" s="44">
        <v>0.156</v>
      </c>
      <c r="F43" s="37">
        <f>F37*E43</f>
        <v>2.1216000000000004</v>
      </c>
      <c r="G43" s="37"/>
      <c r="H43" s="41"/>
    </row>
    <row r="44" spans="1:8" s="11" customFormat="1" ht="40.5">
      <c r="A44" s="136" t="s">
        <v>14</v>
      </c>
      <c r="B44" s="136" t="s">
        <v>120</v>
      </c>
      <c r="C44" s="132" t="s">
        <v>121</v>
      </c>
      <c r="D44" s="132" t="s">
        <v>101</v>
      </c>
      <c r="E44" s="146"/>
      <c r="F44" s="134">
        <f>4.6+4.6+0.5+1.1+0.4</f>
        <v>11.2</v>
      </c>
      <c r="G44" s="134"/>
      <c r="H44" s="134"/>
    </row>
    <row r="45" spans="1:8" s="11" customFormat="1" ht="13.5">
      <c r="A45" s="39"/>
      <c r="B45" s="29"/>
      <c r="C45" s="8" t="s">
        <v>46</v>
      </c>
      <c r="D45" s="8" t="s">
        <v>10</v>
      </c>
      <c r="E45" s="40">
        <v>0.583</v>
      </c>
      <c r="F45" s="41">
        <f>F44*E45</f>
        <v>6.529599999999999</v>
      </c>
      <c r="G45" s="41"/>
      <c r="H45" s="41"/>
    </row>
    <row r="46" spans="1:8" s="11" customFormat="1" ht="13.5">
      <c r="A46" s="39"/>
      <c r="B46" s="29"/>
      <c r="C46" s="8" t="s">
        <v>48</v>
      </c>
      <c r="D46" s="8" t="s">
        <v>23</v>
      </c>
      <c r="E46" s="40">
        <v>0.0046</v>
      </c>
      <c r="F46" s="41">
        <f>F44*E46</f>
        <v>0.051519999999999996</v>
      </c>
      <c r="G46" s="41"/>
      <c r="H46" s="41"/>
    </row>
    <row r="47" spans="1:8" s="11" customFormat="1" ht="27">
      <c r="A47" s="42"/>
      <c r="B47" s="43"/>
      <c r="C47" s="8" t="s">
        <v>122</v>
      </c>
      <c r="D47" s="8" t="s">
        <v>101</v>
      </c>
      <c r="E47" s="44">
        <v>0.998</v>
      </c>
      <c r="F47" s="37">
        <f>E47*F44</f>
        <v>11.1776</v>
      </c>
      <c r="G47" s="37"/>
      <c r="H47" s="41"/>
    </row>
    <row r="48" spans="1:8" s="11" customFormat="1" ht="13.5">
      <c r="A48" s="42"/>
      <c r="B48" s="43"/>
      <c r="C48" s="8" t="s">
        <v>118</v>
      </c>
      <c r="D48" s="36" t="s">
        <v>21</v>
      </c>
      <c r="E48" s="34" t="s">
        <v>54</v>
      </c>
      <c r="F48" s="37">
        <v>25</v>
      </c>
      <c r="G48" s="37"/>
      <c r="H48" s="41"/>
    </row>
    <row r="49" spans="1:8" ht="13.5">
      <c r="A49" s="42"/>
      <c r="B49" s="43"/>
      <c r="C49" s="8" t="s">
        <v>119</v>
      </c>
      <c r="D49" s="8" t="s">
        <v>17</v>
      </c>
      <c r="E49" s="44">
        <v>0.235</v>
      </c>
      <c r="F49" s="37">
        <f>F44*E49</f>
        <v>2.6319999999999997</v>
      </c>
      <c r="G49" s="37"/>
      <c r="H49" s="41"/>
    </row>
    <row r="50" spans="1:8" ht="13.5">
      <c r="A50" s="42"/>
      <c r="B50" s="43"/>
      <c r="C50" s="8" t="s">
        <v>104</v>
      </c>
      <c r="D50" s="8" t="s">
        <v>23</v>
      </c>
      <c r="E50" s="44">
        <v>0.208</v>
      </c>
      <c r="F50" s="37">
        <f>F44*E50</f>
        <v>2.3295999999999997</v>
      </c>
      <c r="G50" s="37"/>
      <c r="H50" s="41"/>
    </row>
    <row r="51" spans="1:8" s="11" customFormat="1" ht="40.5">
      <c r="A51" s="136" t="s">
        <v>16</v>
      </c>
      <c r="B51" s="136" t="s">
        <v>120</v>
      </c>
      <c r="C51" s="132" t="s">
        <v>358</v>
      </c>
      <c r="D51" s="132" t="s">
        <v>101</v>
      </c>
      <c r="E51" s="146"/>
      <c r="F51" s="134">
        <f>6.5+15+14.1</f>
        <v>35.6</v>
      </c>
      <c r="G51" s="134"/>
      <c r="H51" s="134"/>
    </row>
    <row r="52" spans="1:8" s="11" customFormat="1" ht="13.5">
      <c r="A52" s="39"/>
      <c r="B52" s="29"/>
      <c r="C52" s="8" t="s">
        <v>46</v>
      </c>
      <c r="D52" s="8" t="s">
        <v>10</v>
      </c>
      <c r="E52" s="40">
        <v>0.583</v>
      </c>
      <c r="F52" s="41">
        <f>F51*E52</f>
        <v>20.7548</v>
      </c>
      <c r="G52" s="41"/>
      <c r="H52" s="41"/>
    </row>
    <row r="53" spans="1:8" s="11" customFormat="1" ht="13.5">
      <c r="A53" s="39"/>
      <c r="B53" s="29"/>
      <c r="C53" s="8" t="s">
        <v>48</v>
      </c>
      <c r="D53" s="8" t="s">
        <v>23</v>
      </c>
      <c r="E53" s="40">
        <v>0.0046</v>
      </c>
      <c r="F53" s="41">
        <f>F51*E53</f>
        <v>0.16376000000000002</v>
      </c>
      <c r="G53" s="41"/>
      <c r="H53" s="41"/>
    </row>
    <row r="54" spans="1:8" s="11" customFormat="1" ht="27">
      <c r="A54" s="42"/>
      <c r="B54" s="43"/>
      <c r="C54" s="8" t="s">
        <v>368</v>
      </c>
      <c r="D54" s="8" t="s">
        <v>101</v>
      </c>
      <c r="E54" s="44">
        <v>0.998</v>
      </c>
      <c r="F54" s="37">
        <f>E54*F51</f>
        <v>35.528800000000004</v>
      </c>
      <c r="G54" s="37"/>
      <c r="H54" s="41"/>
    </row>
    <row r="55" spans="1:8" s="11" customFormat="1" ht="13.5">
      <c r="A55" s="42"/>
      <c r="B55" s="43"/>
      <c r="C55" s="8" t="s">
        <v>118</v>
      </c>
      <c r="D55" s="36" t="s">
        <v>21</v>
      </c>
      <c r="E55" s="34" t="s">
        <v>54</v>
      </c>
      <c r="F55" s="37">
        <v>25</v>
      </c>
      <c r="G55" s="37"/>
      <c r="H55" s="41"/>
    </row>
    <row r="56" spans="1:8" ht="13.5">
      <c r="A56" s="42"/>
      <c r="B56" s="43"/>
      <c r="C56" s="8" t="s">
        <v>119</v>
      </c>
      <c r="D56" s="8" t="s">
        <v>17</v>
      </c>
      <c r="E56" s="44">
        <v>0.235</v>
      </c>
      <c r="F56" s="37">
        <f>F51*E56</f>
        <v>8.366</v>
      </c>
      <c r="G56" s="37"/>
      <c r="H56" s="41"/>
    </row>
    <row r="57" spans="1:8" ht="13.5">
      <c r="A57" s="42"/>
      <c r="B57" s="43"/>
      <c r="C57" s="8" t="s">
        <v>104</v>
      </c>
      <c r="D57" s="8" t="s">
        <v>23</v>
      </c>
      <c r="E57" s="44">
        <v>0.208</v>
      </c>
      <c r="F57" s="37">
        <f>F51*E57</f>
        <v>7.4048</v>
      </c>
      <c r="G57" s="37"/>
      <c r="H57" s="41"/>
    </row>
    <row r="58" spans="1:8" ht="40.5">
      <c r="A58" s="136" t="s">
        <v>66</v>
      </c>
      <c r="B58" s="136" t="s">
        <v>123</v>
      </c>
      <c r="C58" s="132" t="s">
        <v>124</v>
      </c>
      <c r="D58" s="131" t="s">
        <v>125</v>
      </c>
      <c r="E58" s="146"/>
      <c r="F58" s="134">
        <v>5</v>
      </c>
      <c r="G58" s="134"/>
      <c r="H58" s="134"/>
    </row>
    <row r="59" spans="1:8" ht="21.75" customHeight="1">
      <c r="A59" s="39"/>
      <c r="B59" s="29"/>
      <c r="C59" s="8" t="s">
        <v>46</v>
      </c>
      <c r="D59" s="8" t="s">
        <v>10</v>
      </c>
      <c r="E59" s="40">
        <v>1.72</v>
      </c>
      <c r="F59" s="41">
        <f>F58*E59</f>
        <v>8.6</v>
      </c>
      <c r="G59" s="41"/>
      <c r="H59" s="41"/>
    </row>
    <row r="60" spans="1:8" ht="13.5">
      <c r="A60" s="39"/>
      <c r="B60" s="29"/>
      <c r="C60" s="8" t="s">
        <v>48</v>
      </c>
      <c r="D60" s="8" t="s">
        <v>23</v>
      </c>
      <c r="E60" s="40">
        <v>0.06</v>
      </c>
      <c r="F60" s="41">
        <f>F58*E60</f>
        <v>0.3</v>
      </c>
      <c r="G60" s="41"/>
      <c r="H60" s="41"/>
    </row>
    <row r="61" spans="1:8" ht="13.5">
      <c r="A61" s="42"/>
      <c r="B61" s="43"/>
      <c r="C61" s="8" t="s">
        <v>126</v>
      </c>
      <c r="D61" s="36" t="s">
        <v>125</v>
      </c>
      <c r="E61" s="34" t="s">
        <v>54</v>
      </c>
      <c r="F61" s="37">
        <v>5</v>
      </c>
      <c r="G61" s="37"/>
      <c r="H61" s="41"/>
    </row>
    <row r="62" spans="1:8" ht="13.5">
      <c r="A62" s="42"/>
      <c r="B62" s="43"/>
      <c r="C62" s="8" t="s">
        <v>104</v>
      </c>
      <c r="D62" s="8" t="s">
        <v>23</v>
      </c>
      <c r="E62" s="44">
        <v>0.31</v>
      </c>
      <c r="F62" s="37">
        <f>F58*E62</f>
        <v>1.55</v>
      </c>
      <c r="G62" s="37"/>
      <c r="H62" s="41"/>
    </row>
    <row r="63" spans="1:8" ht="40.5">
      <c r="A63" s="136" t="s">
        <v>20</v>
      </c>
      <c r="B63" s="136" t="s">
        <v>178</v>
      </c>
      <c r="C63" s="132" t="s">
        <v>162</v>
      </c>
      <c r="D63" s="131" t="s">
        <v>125</v>
      </c>
      <c r="E63" s="146"/>
      <c r="F63" s="134">
        <v>5</v>
      </c>
      <c r="G63" s="134"/>
      <c r="H63" s="134"/>
    </row>
    <row r="64" spans="1:8" ht="13.5">
      <c r="A64" s="39"/>
      <c r="B64" s="29"/>
      <c r="C64" s="8" t="s">
        <v>46</v>
      </c>
      <c r="D64" s="8" t="s">
        <v>10</v>
      </c>
      <c r="E64" s="40">
        <v>2.44</v>
      </c>
      <c r="F64" s="41">
        <f>F63*E64</f>
        <v>12.2</v>
      </c>
      <c r="G64" s="41"/>
      <c r="H64" s="41"/>
    </row>
    <row r="65" spans="1:8" ht="13.5">
      <c r="A65" s="39"/>
      <c r="B65" s="29"/>
      <c r="C65" s="8" t="s">
        <v>48</v>
      </c>
      <c r="D65" s="8" t="s">
        <v>23</v>
      </c>
      <c r="E65" s="40">
        <v>0.13</v>
      </c>
      <c r="F65" s="41">
        <f>F63*E65</f>
        <v>0.65</v>
      </c>
      <c r="G65" s="41"/>
      <c r="H65" s="41"/>
    </row>
    <row r="66" spans="1:8" ht="13.5">
      <c r="A66" s="42"/>
      <c r="B66" s="43"/>
      <c r="C66" s="8" t="s">
        <v>127</v>
      </c>
      <c r="D66" s="36" t="s">
        <v>125</v>
      </c>
      <c r="E66" s="34" t="s">
        <v>54</v>
      </c>
      <c r="F66" s="37">
        <v>4</v>
      </c>
      <c r="G66" s="37"/>
      <c r="H66" s="41"/>
    </row>
    <row r="67" spans="1:8" ht="27">
      <c r="A67" s="42"/>
      <c r="B67" s="43"/>
      <c r="C67" s="8" t="s">
        <v>163</v>
      </c>
      <c r="D67" s="36" t="s">
        <v>125</v>
      </c>
      <c r="E67" s="34" t="s">
        <v>54</v>
      </c>
      <c r="F67" s="37">
        <v>1</v>
      </c>
      <c r="G67" s="37"/>
      <c r="H67" s="41"/>
    </row>
    <row r="68" spans="1:8" ht="13.5">
      <c r="A68" s="42"/>
      <c r="B68" s="43"/>
      <c r="C68" s="8" t="s">
        <v>104</v>
      </c>
      <c r="D68" s="8" t="s">
        <v>23</v>
      </c>
      <c r="E68" s="34">
        <v>0.94</v>
      </c>
      <c r="F68" s="37">
        <f>F63*E68</f>
        <v>4.699999999999999</v>
      </c>
      <c r="G68" s="37"/>
      <c r="H68" s="41"/>
    </row>
    <row r="69" spans="1:8" s="156" customFormat="1" ht="13.5">
      <c r="A69" s="131">
        <v>11</v>
      </c>
      <c r="B69" s="131" t="s">
        <v>376</v>
      </c>
      <c r="C69" s="132" t="s">
        <v>377</v>
      </c>
      <c r="D69" s="131" t="s">
        <v>360</v>
      </c>
      <c r="E69" s="131"/>
      <c r="F69" s="132">
        <v>2</v>
      </c>
      <c r="G69" s="131"/>
      <c r="H69" s="135"/>
    </row>
    <row r="70" spans="1:8" s="156" customFormat="1" ht="13.5">
      <c r="A70" s="36"/>
      <c r="B70" s="36"/>
      <c r="C70" s="8" t="s">
        <v>378</v>
      </c>
      <c r="D70" s="36" t="s">
        <v>360</v>
      </c>
      <c r="E70" s="36" t="s">
        <v>54</v>
      </c>
      <c r="F70" s="8">
        <f>F69</f>
        <v>2</v>
      </c>
      <c r="G70" s="36"/>
      <c r="H70" s="159"/>
    </row>
    <row r="71" spans="1:8" s="156" customFormat="1" ht="13.5">
      <c r="A71" s="36"/>
      <c r="B71" s="36"/>
      <c r="C71" s="8" t="s">
        <v>259</v>
      </c>
      <c r="D71" s="36" t="s">
        <v>23</v>
      </c>
      <c r="E71" s="36">
        <v>0.0223</v>
      </c>
      <c r="F71" s="8">
        <f>F69*0.0223</f>
        <v>0.0446</v>
      </c>
      <c r="G71" s="36"/>
      <c r="H71" s="159"/>
    </row>
    <row r="72" spans="1:8" s="156" customFormat="1" ht="13.5">
      <c r="A72" s="36"/>
      <c r="B72" s="36"/>
      <c r="C72" s="8" t="s">
        <v>118</v>
      </c>
      <c r="D72" s="36" t="s">
        <v>360</v>
      </c>
      <c r="E72" s="36" t="s">
        <v>54</v>
      </c>
      <c r="F72" s="8">
        <f>F69*4</f>
        <v>8</v>
      </c>
      <c r="G72" s="36"/>
      <c r="H72" s="159"/>
    </row>
    <row r="73" spans="1:8" s="156" customFormat="1" ht="13.5">
      <c r="A73" s="36"/>
      <c r="B73" s="36"/>
      <c r="C73" s="8" t="s">
        <v>55</v>
      </c>
      <c r="D73" s="36" t="s">
        <v>10</v>
      </c>
      <c r="E73" s="36">
        <v>0.318</v>
      </c>
      <c r="F73" s="8">
        <f>F69*0.318</f>
        <v>0.636</v>
      </c>
      <c r="G73" s="36"/>
      <c r="H73" s="159"/>
    </row>
    <row r="74" spans="1:8" s="156" customFormat="1" ht="13.5">
      <c r="A74" s="36"/>
      <c r="B74" s="36"/>
      <c r="C74" s="8" t="s">
        <v>186</v>
      </c>
      <c r="D74" s="157" t="s">
        <v>23</v>
      </c>
      <c r="E74" s="157">
        <v>0.0548</v>
      </c>
      <c r="F74" s="3">
        <f>F69*0.0548</f>
        <v>0.1096</v>
      </c>
      <c r="G74" s="36"/>
      <c r="H74" s="159"/>
    </row>
    <row r="75" spans="1:8" ht="40.5">
      <c r="A75" s="136" t="s">
        <v>79</v>
      </c>
      <c r="B75" s="136" t="s">
        <v>128</v>
      </c>
      <c r="C75" s="132" t="s">
        <v>164</v>
      </c>
      <c r="D75" s="131" t="s">
        <v>21</v>
      </c>
      <c r="E75" s="146"/>
      <c r="F75" s="134">
        <v>5</v>
      </c>
      <c r="G75" s="134"/>
      <c r="H75" s="134"/>
    </row>
    <row r="76" spans="1:8" ht="21.75" customHeight="1">
      <c r="A76" s="39"/>
      <c r="B76" s="29"/>
      <c r="C76" s="8" t="s">
        <v>46</v>
      </c>
      <c r="D76" s="8" t="s">
        <v>10</v>
      </c>
      <c r="E76" s="40">
        <v>0.46</v>
      </c>
      <c r="F76" s="41">
        <f>F75*E76</f>
        <v>2.3000000000000003</v>
      </c>
      <c r="G76" s="41"/>
      <c r="H76" s="41"/>
    </row>
    <row r="77" spans="1:8" ht="13.5">
      <c r="A77" s="39"/>
      <c r="B77" s="29"/>
      <c r="C77" s="8" t="s">
        <v>48</v>
      </c>
      <c r="D77" s="8" t="s">
        <v>23</v>
      </c>
      <c r="E77" s="40">
        <v>0.02</v>
      </c>
      <c r="F77" s="41">
        <f>F75*E77</f>
        <v>0.1</v>
      </c>
      <c r="G77" s="41"/>
      <c r="H77" s="41"/>
    </row>
    <row r="78" spans="1:8" ht="13.5">
      <c r="A78" s="42"/>
      <c r="B78" s="43"/>
      <c r="C78" s="8" t="s">
        <v>129</v>
      </c>
      <c r="D78" s="36" t="s">
        <v>21</v>
      </c>
      <c r="E78" s="34" t="s">
        <v>54</v>
      </c>
      <c r="F78" s="37">
        <f>F75</f>
        <v>5</v>
      </c>
      <c r="G78" s="37"/>
      <c r="H78" s="41"/>
    </row>
    <row r="79" spans="1:8" ht="13.5">
      <c r="A79" s="42"/>
      <c r="B79" s="43"/>
      <c r="C79" s="8" t="s">
        <v>104</v>
      </c>
      <c r="D79" s="8" t="s">
        <v>23</v>
      </c>
      <c r="E79" s="44">
        <v>0.11</v>
      </c>
      <c r="F79" s="37">
        <f>F75*E79</f>
        <v>0.55</v>
      </c>
      <c r="G79" s="37"/>
      <c r="H79" s="41"/>
    </row>
    <row r="80" spans="1:8" ht="38.25">
      <c r="A80" s="142">
        <v>13</v>
      </c>
      <c r="B80" s="153" t="s">
        <v>130</v>
      </c>
      <c r="C80" s="132" t="s">
        <v>131</v>
      </c>
      <c r="D80" s="132" t="s">
        <v>73</v>
      </c>
      <c r="E80" s="146"/>
      <c r="F80" s="146">
        <f>F51*0.5*1.2/2/100</f>
        <v>0.10679999999999999</v>
      </c>
      <c r="G80" s="134"/>
      <c r="H80" s="134"/>
    </row>
    <row r="81" spans="1:8" ht="13.5">
      <c r="A81" s="10"/>
      <c r="B81" s="31"/>
      <c r="C81" s="8" t="s">
        <v>47</v>
      </c>
      <c r="D81" s="8" t="s">
        <v>10</v>
      </c>
      <c r="E81" s="9">
        <v>206</v>
      </c>
      <c r="F81" s="9">
        <f>F80*E81</f>
        <v>22.000799999999998</v>
      </c>
      <c r="G81" s="9"/>
      <c r="H81" s="9"/>
    </row>
    <row r="82" spans="1:8" ht="40.5">
      <c r="A82" s="142">
        <v>14</v>
      </c>
      <c r="B82" s="153" t="s">
        <v>132</v>
      </c>
      <c r="C82" s="132" t="s">
        <v>133</v>
      </c>
      <c r="D82" s="132" t="s">
        <v>73</v>
      </c>
      <c r="E82" s="134"/>
      <c r="F82" s="146">
        <f>F80</f>
        <v>0.10679999999999999</v>
      </c>
      <c r="G82" s="134"/>
      <c r="H82" s="134"/>
    </row>
    <row r="83" spans="1:8" ht="13.5">
      <c r="A83" s="10"/>
      <c r="B83" s="31"/>
      <c r="C83" s="8" t="s">
        <v>47</v>
      </c>
      <c r="D83" s="8" t="s">
        <v>10</v>
      </c>
      <c r="E83" s="9">
        <v>121</v>
      </c>
      <c r="F83" s="9">
        <f>F82*E83</f>
        <v>12.922799999999999</v>
      </c>
      <c r="G83" s="9"/>
      <c r="H83" s="9"/>
    </row>
    <row r="84" spans="1:8" s="156" customFormat="1" ht="13.5">
      <c r="A84" s="177">
        <v>15</v>
      </c>
      <c r="B84" s="178" t="s">
        <v>359</v>
      </c>
      <c r="C84" s="177" t="s">
        <v>365</v>
      </c>
      <c r="D84" s="177" t="s">
        <v>360</v>
      </c>
      <c r="E84" s="179"/>
      <c r="F84" s="179">
        <v>3</v>
      </c>
      <c r="G84" s="179"/>
      <c r="H84" s="180"/>
    </row>
    <row r="85" spans="1:8" s="156" customFormat="1" ht="13.5">
      <c r="A85" s="172"/>
      <c r="B85" s="173" t="s">
        <v>248</v>
      </c>
      <c r="C85" s="66" t="s">
        <v>361</v>
      </c>
      <c r="D85" s="66" t="s">
        <v>10</v>
      </c>
      <c r="E85" s="174">
        <v>50</v>
      </c>
      <c r="F85" s="174">
        <f>F84*E85</f>
        <v>150</v>
      </c>
      <c r="G85" s="174"/>
      <c r="H85" s="159"/>
    </row>
    <row r="86" spans="1:8" s="156" customFormat="1" ht="13.5">
      <c r="A86" s="172"/>
      <c r="B86" s="65"/>
      <c r="C86" s="66" t="s">
        <v>76</v>
      </c>
      <c r="D86" s="66" t="s">
        <v>23</v>
      </c>
      <c r="E86" s="174">
        <v>71.4</v>
      </c>
      <c r="F86" s="174">
        <f>E86*F84</f>
        <v>214.20000000000002</v>
      </c>
      <c r="G86" s="174"/>
      <c r="H86" s="159"/>
    </row>
    <row r="87" spans="1:8" s="156" customFormat="1" ht="13.5">
      <c r="A87" s="172"/>
      <c r="B87" s="173"/>
      <c r="C87" s="66" t="s">
        <v>366</v>
      </c>
      <c r="D87" s="66" t="s">
        <v>360</v>
      </c>
      <c r="E87" s="175" t="s">
        <v>240</v>
      </c>
      <c r="F87" s="174">
        <f>F84</f>
        <v>3</v>
      </c>
      <c r="G87" s="176"/>
      <c r="H87" s="159"/>
    </row>
    <row r="88" spans="1:8" s="156" customFormat="1" ht="13.5">
      <c r="A88" s="172"/>
      <c r="B88" s="173"/>
      <c r="C88" s="66" t="s">
        <v>367</v>
      </c>
      <c r="D88" s="66" t="s">
        <v>360</v>
      </c>
      <c r="E88" s="175" t="s">
        <v>240</v>
      </c>
      <c r="F88" s="174">
        <v>1</v>
      </c>
      <c r="G88" s="176"/>
      <c r="H88" s="159"/>
    </row>
    <row r="89" spans="1:8" s="156" customFormat="1" ht="13.5">
      <c r="A89" s="172"/>
      <c r="B89" s="173"/>
      <c r="C89" s="66" t="s">
        <v>362</v>
      </c>
      <c r="D89" s="66" t="s">
        <v>360</v>
      </c>
      <c r="E89" s="175" t="s">
        <v>240</v>
      </c>
      <c r="F89" s="174">
        <v>2</v>
      </c>
      <c r="G89" s="176"/>
      <c r="H89" s="159"/>
    </row>
    <row r="90" spans="1:8" s="156" customFormat="1" ht="13.5">
      <c r="A90" s="172"/>
      <c r="B90" s="173"/>
      <c r="C90" s="66" t="s">
        <v>363</v>
      </c>
      <c r="D90" s="66" t="s">
        <v>360</v>
      </c>
      <c r="E90" s="175" t="s">
        <v>240</v>
      </c>
      <c r="F90" s="174">
        <v>3</v>
      </c>
      <c r="G90" s="176"/>
      <c r="H90" s="159"/>
    </row>
    <row r="91" spans="1:8" s="156" customFormat="1" ht="13.5">
      <c r="A91" s="172"/>
      <c r="B91" s="173"/>
      <c r="C91" s="172" t="s">
        <v>364</v>
      </c>
      <c r="D91" s="66" t="s">
        <v>23</v>
      </c>
      <c r="E91" s="174">
        <v>66.1</v>
      </c>
      <c r="F91" s="174">
        <f>F84*E91</f>
        <v>198.29999999999998</v>
      </c>
      <c r="G91" s="174"/>
      <c r="H91" s="159"/>
    </row>
    <row r="92" spans="1:9" ht="13.5">
      <c r="A92" s="10"/>
      <c r="B92" s="29"/>
      <c r="C92" s="6" t="s">
        <v>25</v>
      </c>
      <c r="D92" s="6" t="s">
        <v>23</v>
      </c>
      <c r="E92" s="40"/>
      <c r="F92" s="7"/>
      <c r="G92" s="7"/>
      <c r="H92" s="75"/>
      <c r="I92" s="56"/>
    </row>
    <row r="93" spans="1:9" ht="13.5">
      <c r="A93" s="10"/>
      <c r="B93" s="29"/>
      <c r="C93" s="8" t="s">
        <v>205</v>
      </c>
      <c r="D93" s="6"/>
      <c r="E93" s="40"/>
      <c r="F93" s="7"/>
      <c r="G93" s="7"/>
      <c r="H93" s="9"/>
      <c r="I93" s="56"/>
    </row>
    <row r="94" spans="1:8" ht="15.75">
      <c r="A94" s="33"/>
      <c r="B94" s="32"/>
      <c r="C94" s="8" t="s">
        <v>25</v>
      </c>
      <c r="D94" s="8" t="s">
        <v>23</v>
      </c>
      <c r="E94" s="40"/>
      <c r="F94" s="9"/>
      <c r="G94" s="9"/>
      <c r="H94" s="9"/>
    </row>
    <row r="95" spans="1:8" ht="15.75">
      <c r="A95" s="33"/>
      <c r="B95" s="32"/>
      <c r="C95" s="8" t="s">
        <v>391</v>
      </c>
      <c r="D95" s="8" t="s">
        <v>23</v>
      </c>
      <c r="E95" s="40"/>
      <c r="F95" s="9"/>
      <c r="G95" s="9"/>
      <c r="H95" s="9"/>
    </row>
    <row r="96" spans="1:8" ht="15.75">
      <c r="A96" s="33"/>
      <c r="B96" s="32"/>
      <c r="C96" s="8" t="s">
        <v>25</v>
      </c>
      <c r="D96" s="8" t="s">
        <v>23</v>
      </c>
      <c r="E96" s="9"/>
      <c r="F96" s="9"/>
      <c r="G96" s="9"/>
      <c r="H96" s="9"/>
    </row>
    <row r="97" spans="1:8" ht="15.75">
      <c r="A97" s="33"/>
      <c r="B97" s="32"/>
      <c r="C97" s="8" t="s">
        <v>392</v>
      </c>
      <c r="D97" s="8" t="s">
        <v>23</v>
      </c>
      <c r="E97" s="9"/>
      <c r="F97" s="9"/>
      <c r="G97" s="9"/>
      <c r="H97" s="9"/>
    </row>
    <row r="98" spans="1:8" ht="15.75">
      <c r="A98" s="33"/>
      <c r="B98" s="32"/>
      <c r="C98" s="6" t="s">
        <v>26</v>
      </c>
      <c r="D98" s="6" t="s">
        <v>23</v>
      </c>
      <c r="E98" s="9"/>
      <c r="F98" s="9"/>
      <c r="G98" s="9"/>
      <c r="H98" s="7"/>
    </row>
    <row r="99" spans="1:8" ht="13.5">
      <c r="A99" s="30"/>
      <c r="B99" s="46"/>
      <c r="C99" s="16"/>
      <c r="D99" s="11"/>
      <c r="E99" s="11"/>
      <c r="F99" s="11"/>
      <c r="G99" s="11" t="s">
        <v>27</v>
      </c>
      <c r="H99" s="17"/>
    </row>
    <row r="100" spans="1:8" ht="41.25" customHeight="1">
      <c r="A100" s="30"/>
      <c r="B100" s="46"/>
      <c r="C100" s="16"/>
      <c r="D100" s="11"/>
      <c r="E100" s="11"/>
      <c r="F100" s="11"/>
      <c r="G100" s="11"/>
      <c r="H100" s="17"/>
    </row>
    <row r="101" spans="1:8" ht="15.75">
      <c r="A101" s="35"/>
      <c r="B101" s="35"/>
      <c r="C101" s="35"/>
      <c r="D101" s="35"/>
      <c r="E101" s="35"/>
      <c r="F101" s="35"/>
      <c r="G101" s="35"/>
      <c r="H101" s="18"/>
    </row>
  </sheetData>
  <sheetProtection/>
  <mergeCells count="10">
    <mergeCell ref="D5:D6"/>
    <mergeCell ref="E5:F5"/>
    <mergeCell ref="G5:H5"/>
    <mergeCell ref="A1:H1"/>
    <mergeCell ref="A3:H3"/>
    <mergeCell ref="A2:H2"/>
    <mergeCell ref="A4:H4"/>
    <mergeCell ref="A5:A6"/>
    <mergeCell ref="B5:B6"/>
    <mergeCell ref="C5:C6"/>
  </mergeCells>
  <printOptions horizontalCentered="1"/>
  <pageMargins left="0.2" right="0.15748031496062992" top="0.5118110236220472" bottom="0.29" header="0.5118110236220472" footer="0"/>
  <pageSetup horizontalDpi="600" verticalDpi="600" orientation="portrait" paperSize="9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zoomScalePageLayoutView="0" workbookViewId="0" topLeftCell="A1">
      <selection activeCell="A69" sqref="A69:IV69"/>
    </sheetView>
  </sheetViews>
  <sheetFormatPr defaultColWidth="9.140625" defaultRowHeight="12.75"/>
  <cols>
    <col min="1" max="1" width="4.28125" style="115" customWidth="1"/>
    <col min="2" max="2" width="13.57421875" style="116" customWidth="1"/>
    <col min="3" max="3" width="43.8515625" style="117" customWidth="1"/>
    <col min="4" max="4" width="9.00390625" style="118" customWidth="1"/>
    <col min="5" max="5" width="11.00390625" style="114" customWidth="1"/>
    <col min="6" max="6" width="11.28125" style="119" customWidth="1"/>
    <col min="7" max="7" width="8.00390625" style="114" customWidth="1"/>
    <col min="8" max="8" width="10.28125" style="120" customWidth="1"/>
    <col min="9" max="9" width="9.140625" style="108" customWidth="1"/>
    <col min="10" max="10" width="9.421875" style="108" bestFit="1" customWidth="1"/>
    <col min="11" max="11" width="9.140625" style="114" customWidth="1"/>
    <col min="12" max="16384" width="9.140625" style="108" customWidth="1"/>
  </cols>
  <sheetData>
    <row r="1" spans="1:8" s="59" customFormat="1" ht="24" customHeight="1">
      <c r="A1" s="202" t="s">
        <v>65</v>
      </c>
      <c r="B1" s="202"/>
      <c r="C1" s="202"/>
      <c r="D1" s="202"/>
      <c r="E1" s="202"/>
      <c r="F1" s="202"/>
      <c r="G1" s="202"/>
      <c r="H1" s="202"/>
    </row>
    <row r="2" spans="1:8" s="59" customFormat="1" ht="21" customHeight="1">
      <c r="A2" s="202" t="str">
        <f>'1-1'!A2:H2</f>
        <v>onis municipalitetis sof Rebis sajaro skolis Senobis reabilitacia</v>
      </c>
      <c r="B2" s="202"/>
      <c r="C2" s="202"/>
      <c r="D2" s="202"/>
      <c r="E2" s="202"/>
      <c r="F2" s="202"/>
      <c r="G2" s="202"/>
      <c r="H2" s="202"/>
    </row>
    <row r="3" spans="1:8" s="59" customFormat="1" ht="21" customHeight="1">
      <c r="A3" s="202" t="s">
        <v>43</v>
      </c>
      <c r="B3" s="202"/>
      <c r="C3" s="202"/>
      <c r="D3" s="202"/>
      <c r="E3" s="202"/>
      <c r="F3" s="202"/>
      <c r="G3" s="202"/>
      <c r="H3" s="202"/>
    </row>
    <row r="4" spans="1:8" s="59" customFormat="1" ht="15.75">
      <c r="A4" s="99"/>
      <c r="B4" s="100"/>
      <c r="C4" s="99"/>
      <c r="D4" s="99"/>
      <c r="E4" s="99"/>
      <c r="F4" s="99"/>
      <c r="G4" s="99"/>
      <c r="H4" s="99"/>
    </row>
    <row r="5" spans="1:8" s="59" customFormat="1" ht="15.75">
      <c r="A5" s="204">
        <f>'1-2'!A4:H4</f>
        <v>0</v>
      </c>
      <c r="B5" s="204"/>
      <c r="C5" s="204"/>
      <c r="D5" s="204"/>
      <c r="E5" s="204"/>
      <c r="F5" s="204"/>
      <c r="G5" s="204"/>
      <c r="H5" s="204"/>
    </row>
    <row r="6" spans="1:8" s="59" customFormat="1" ht="30.75" customHeight="1">
      <c r="A6" s="207" t="s">
        <v>1</v>
      </c>
      <c r="B6" s="207" t="s">
        <v>2</v>
      </c>
      <c r="C6" s="209" t="s">
        <v>3</v>
      </c>
      <c r="D6" s="209" t="s">
        <v>4</v>
      </c>
      <c r="E6" s="205" t="s">
        <v>5</v>
      </c>
      <c r="F6" s="206"/>
      <c r="G6" s="205" t="s">
        <v>40</v>
      </c>
      <c r="H6" s="206"/>
    </row>
    <row r="7" spans="1:8" s="59" customFormat="1" ht="66" customHeight="1">
      <c r="A7" s="208"/>
      <c r="B7" s="208"/>
      <c r="C7" s="210"/>
      <c r="D7" s="210"/>
      <c r="E7" s="62" t="s">
        <v>6</v>
      </c>
      <c r="F7" s="62" t="s">
        <v>7</v>
      </c>
      <c r="G7" s="62" t="s">
        <v>6</v>
      </c>
      <c r="H7" s="64" t="s">
        <v>7</v>
      </c>
    </row>
    <row r="8" spans="1:8" s="69" customFormat="1" ht="18.75" customHeight="1">
      <c r="A8" s="65" t="s">
        <v>8</v>
      </c>
      <c r="B8" s="65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8">
        <v>8</v>
      </c>
    </row>
    <row r="9" spans="1:13" s="76" customFormat="1" ht="38.25">
      <c r="A9" s="181">
        <v>1</v>
      </c>
      <c r="B9" s="161" t="s">
        <v>135</v>
      </c>
      <c r="C9" s="177" t="s">
        <v>136</v>
      </c>
      <c r="D9" s="177" t="s">
        <v>18</v>
      </c>
      <c r="E9" s="182"/>
      <c r="F9" s="183">
        <v>0.5</v>
      </c>
      <c r="G9" s="183"/>
      <c r="H9" s="183"/>
      <c r="I9" s="101"/>
      <c r="J9" s="101"/>
      <c r="K9" s="102"/>
      <c r="L9" s="101"/>
      <c r="M9" s="102"/>
    </row>
    <row r="10" spans="1:13" s="69" customFormat="1" ht="13.5">
      <c r="A10" s="68"/>
      <c r="B10" s="83"/>
      <c r="C10" s="66" t="s">
        <v>47</v>
      </c>
      <c r="D10" s="66" t="s">
        <v>10</v>
      </c>
      <c r="E10" s="84">
        <v>48.4</v>
      </c>
      <c r="F10" s="67">
        <f>F9*E10</f>
        <v>24.2</v>
      </c>
      <c r="G10" s="67"/>
      <c r="H10" s="67"/>
      <c r="I10" s="103"/>
      <c r="J10" s="101"/>
      <c r="K10" s="103"/>
      <c r="L10" s="101"/>
      <c r="M10" s="104"/>
    </row>
    <row r="11" spans="1:13" s="69" customFormat="1" ht="13.5">
      <c r="A11" s="68"/>
      <c r="B11" s="83"/>
      <c r="C11" s="66" t="s">
        <v>48</v>
      </c>
      <c r="D11" s="66" t="s">
        <v>23</v>
      </c>
      <c r="E11" s="84">
        <v>16.7</v>
      </c>
      <c r="F11" s="67">
        <f>F9*E11</f>
        <v>8.35</v>
      </c>
      <c r="G11" s="67"/>
      <c r="H11" s="67"/>
      <c r="I11" s="103"/>
      <c r="J11" s="101"/>
      <c r="K11" s="104"/>
      <c r="L11" s="101"/>
      <c r="M11" s="104"/>
    </row>
    <row r="12" spans="1:13" s="76" customFormat="1" ht="38.25">
      <c r="A12" s="181">
        <v>2</v>
      </c>
      <c r="B12" s="161" t="s">
        <v>137</v>
      </c>
      <c r="C12" s="177" t="s">
        <v>138</v>
      </c>
      <c r="D12" s="177" t="s">
        <v>101</v>
      </c>
      <c r="E12" s="182"/>
      <c r="F12" s="183">
        <v>150</v>
      </c>
      <c r="G12" s="183"/>
      <c r="H12" s="183"/>
      <c r="I12" s="101"/>
      <c r="J12" s="101"/>
      <c r="K12" s="102"/>
      <c r="L12" s="101"/>
      <c r="M12" s="102"/>
    </row>
    <row r="13" spans="1:13" s="69" customFormat="1" ht="13.5">
      <c r="A13" s="68"/>
      <c r="B13" s="83"/>
      <c r="C13" s="66" t="s">
        <v>47</v>
      </c>
      <c r="D13" s="66" t="s">
        <v>10</v>
      </c>
      <c r="E13" s="84">
        <v>0.137</v>
      </c>
      <c r="F13" s="67">
        <f>F12*E13</f>
        <v>20.55</v>
      </c>
      <c r="G13" s="67"/>
      <c r="H13" s="67"/>
      <c r="I13" s="103"/>
      <c r="J13" s="101"/>
      <c r="K13" s="103"/>
      <c r="L13" s="101"/>
      <c r="M13" s="104"/>
    </row>
    <row r="14" spans="1:13" s="69" customFormat="1" ht="13.5">
      <c r="A14" s="68"/>
      <c r="B14" s="83"/>
      <c r="C14" s="66" t="s">
        <v>48</v>
      </c>
      <c r="D14" s="66" t="s">
        <v>23</v>
      </c>
      <c r="E14" s="84">
        <v>0.059</v>
      </c>
      <c r="F14" s="67">
        <f>F12*E14</f>
        <v>8.85</v>
      </c>
      <c r="G14" s="67"/>
      <c r="H14" s="67"/>
      <c r="I14" s="103"/>
      <c r="J14" s="101"/>
      <c r="K14" s="104"/>
      <c r="L14" s="101"/>
      <c r="M14" s="104"/>
    </row>
    <row r="15" spans="1:13" s="76" customFormat="1" ht="38.25">
      <c r="A15" s="181">
        <v>3</v>
      </c>
      <c r="B15" s="161" t="s">
        <v>139</v>
      </c>
      <c r="C15" s="177" t="s">
        <v>140</v>
      </c>
      <c r="D15" s="177" t="s">
        <v>21</v>
      </c>
      <c r="E15" s="182"/>
      <c r="F15" s="183">
        <v>14</v>
      </c>
      <c r="G15" s="183"/>
      <c r="H15" s="183"/>
      <c r="I15" s="101"/>
      <c r="J15" s="101"/>
      <c r="K15" s="102"/>
      <c r="L15" s="101"/>
      <c r="M15" s="102"/>
    </row>
    <row r="16" spans="1:13" s="69" customFormat="1" ht="13.5">
      <c r="A16" s="68"/>
      <c r="B16" s="83"/>
      <c r="C16" s="66" t="s">
        <v>47</v>
      </c>
      <c r="D16" s="66" t="s">
        <v>10</v>
      </c>
      <c r="E16" s="84">
        <v>0.145</v>
      </c>
      <c r="F16" s="67">
        <f>F15*E16</f>
        <v>2.03</v>
      </c>
      <c r="G16" s="67"/>
      <c r="H16" s="67"/>
      <c r="I16" s="103"/>
      <c r="J16" s="101"/>
      <c r="K16" s="103"/>
      <c r="L16" s="101"/>
      <c r="M16" s="104"/>
    </row>
    <row r="17" spans="1:13" s="69" customFormat="1" ht="13.5">
      <c r="A17" s="68"/>
      <c r="B17" s="83"/>
      <c r="C17" s="66" t="s">
        <v>49</v>
      </c>
      <c r="D17" s="66" t="s">
        <v>23</v>
      </c>
      <c r="E17" s="84">
        <v>0.0174</v>
      </c>
      <c r="F17" s="67">
        <f>F15*E17</f>
        <v>0.24359999999999998</v>
      </c>
      <c r="G17" s="67"/>
      <c r="H17" s="67"/>
      <c r="I17" s="103"/>
      <c r="J17" s="101"/>
      <c r="K17" s="104"/>
      <c r="L17" s="101"/>
      <c r="M17" s="104"/>
    </row>
    <row r="18" spans="1:13" s="76" customFormat="1" ht="38.25">
      <c r="A18" s="181">
        <v>4</v>
      </c>
      <c r="B18" s="161" t="s">
        <v>196</v>
      </c>
      <c r="C18" s="177" t="s">
        <v>142</v>
      </c>
      <c r="D18" s="177" t="s">
        <v>125</v>
      </c>
      <c r="E18" s="182"/>
      <c r="F18" s="183">
        <v>1</v>
      </c>
      <c r="G18" s="183"/>
      <c r="H18" s="183"/>
      <c r="I18" s="101"/>
      <c r="J18" s="101"/>
      <c r="K18" s="102"/>
      <c r="L18" s="101"/>
      <c r="M18" s="102"/>
    </row>
    <row r="19" spans="1:13" s="69" customFormat="1" ht="13.5">
      <c r="A19" s="68"/>
      <c r="B19" s="83"/>
      <c r="C19" s="66" t="s">
        <v>141</v>
      </c>
      <c r="D19" s="66" t="s">
        <v>10</v>
      </c>
      <c r="E19" s="84">
        <v>3.17</v>
      </c>
      <c r="F19" s="67">
        <f>F18*E19</f>
        <v>3.17</v>
      </c>
      <c r="G19" s="67"/>
      <c r="H19" s="67"/>
      <c r="I19" s="103"/>
      <c r="J19" s="101"/>
      <c r="K19" s="103"/>
      <c r="L19" s="101"/>
      <c r="M19" s="104"/>
    </row>
    <row r="20" spans="1:13" s="69" customFormat="1" ht="13.5">
      <c r="A20" s="68"/>
      <c r="B20" s="83"/>
      <c r="C20" s="66" t="s">
        <v>197</v>
      </c>
      <c r="D20" s="66" t="s">
        <v>190</v>
      </c>
      <c r="E20" s="84">
        <v>0.072</v>
      </c>
      <c r="F20" s="67">
        <f>F18*E20</f>
        <v>0.072</v>
      </c>
      <c r="G20" s="67"/>
      <c r="H20" s="67"/>
      <c r="I20" s="103"/>
      <c r="J20" s="101"/>
      <c r="K20" s="103"/>
      <c r="L20" s="101"/>
      <c r="M20" s="104"/>
    </row>
    <row r="21" spans="1:13" s="69" customFormat="1" ht="13.5">
      <c r="A21" s="68"/>
      <c r="B21" s="83"/>
      <c r="C21" s="66" t="s">
        <v>143</v>
      </c>
      <c r="D21" s="66" t="s">
        <v>125</v>
      </c>
      <c r="E21" s="84" t="s">
        <v>54</v>
      </c>
      <c r="F21" s="67">
        <v>1</v>
      </c>
      <c r="G21" s="67"/>
      <c r="H21" s="67"/>
      <c r="I21" s="103"/>
      <c r="J21" s="101"/>
      <c r="K21" s="104"/>
      <c r="L21" s="101"/>
      <c r="M21" s="104"/>
    </row>
    <row r="22" spans="1:13" s="69" customFormat="1" ht="13.5">
      <c r="A22" s="68"/>
      <c r="B22" s="83"/>
      <c r="C22" s="66" t="s">
        <v>144</v>
      </c>
      <c r="D22" s="66" t="s">
        <v>21</v>
      </c>
      <c r="E22" s="84" t="s">
        <v>54</v>
      </c>
      <c r="F22" s="67">
        <v>2</v>
      </c>
      <c r="G22" s="67"/>
      <c r="H22" s="67"/>
      <c r="I22" s="103"/>
      <c r="J22" s="101"/>
      <c r="K22" s="104"/>
      <c r="L22" s="101"/>
      <c r="M22" s="104"/>
    </row>
    <row r="23" spans="1:13" s="69" customFormat="1" ht="13.5">
      <c r="A23" s="68"/>
      <c r="B23" s="83"/>
      <c r="C23" s="66" t="s">
        <v>104</v>
      </c>
      <c r="D23" s="66" t="s">
        <v>23</v>
      </c>
      <c r="E23" s="84">
        <v>0.238</v>
      </c>
      <c r="F23" s="67">
        <f>F18*E23</f>
        <v>0.238</v>
      </c>
      <c r="G23" s="67"/>
      <c r="H23" s="67"/>
      <c r="I23" s="103"/>
      <c r="J23" s="101"/>
      <c r="K23" s="104"/>
      <c r="L23" s="101"/>
      <c r="M23" s="104"/>
    </row>
    <row r="24" spans="1:13" s="76" customFormat="1" ht="38.25">
      <c r="A24" s="181">
        <v>5</v>
      </c>
      <c r="B24" s="161" t="s">
        <v>145</v>
      </c>
      <c r="C24" s="177" t="s">
        <v>146</v>
      </c>
      <c r="D24" s="177" t="s">
        <v>101</v>
      </c>
      <c r="E24" s="182"/>
      <c r="F24" s="183">
        <f>F26+F27</f>
        <v>1340</v>
      </c>
      <c r="G24" s="183"/>
      <c r="H24" s="183"/>
      <c r="I24" s="101"/>
      <c r="J24" s="101"/>
      <c r="K24" s="102"/>
      <c r="L24" s="101"/>
      <c r="M24" s="102"/>
    </row>
    <row r="25" spans="1:13" s="69" customFormat="1" ht="13.5">
      <c r="A25" s="68"/>
      <c r="B25" s="83"/>
      <c r="C25" s="66" t="s">
        <v>47</v>
      </c>
      <c r="D25" s="66" t="s">
        <v>10</v>
      </c>
      <c r="E25" s="84">
        <v>0.139</v>
      </c>
      <c r="F25" s="67">
        <f>F24*E25</f>
        <v>186.26000000000002</v>
      </c>
      <c r="G25" s="67"/>
      <c r="H25" s="67"/>
      <c r="I25" s="103"/>
      <c r="J25" s="101"/>
      <c r="K25" s="103"/>
      <c r="L25" s="101"/>
      <c r="M25" s="104"/>
    </row>
    <row r="26" spans="1:13" s="69" customFormat="1" ht="13.5">
      <c r="A26" s="68"/>
      <c r="B26" s="83"/>
      <c r="C26" s="66" t="s">
        <v>147</v>
      </c>
      <c r="D26" s="66" t="s">
        <v>101</v>
      </c>
      <c r="E26" s="84" t="s">
        <v>54</v>
      </c>
      <c r="F26" s="67">
        <v>1320</v>
      </c>
      <c r="G26" s="67"/>
      <c r="H26" s="67"/>
      <c r="I26" s="103"/>
      <c r="J26" s="101"/>
      <c r="K26" s="104"/>
      <c r="L26" s="101"/>
      <c r="M26" s="104"/>
    </row>
    <row r="27" spans="1:13" s="69" customFormat="1" ht="13.5">
      <c r="A27" s="68"/>
      <c r="B27" s="83"/>
      <c r="C27" s="66" t="s">
        <v>177</v>
      </c>
      <c r="D27" s="66" t="s">
        <v>101</v>
      </c>
      <c r="E27" s="84" t="s">
        <v>54</v>
      </c>
      <c r="F27" s="67">
        <v>20</v>
      </c>
      <c r="G27" s="67"/>
      <c r="H27" s="67"/>
      <c r="I27" s="103"/>
      <c r="J27" s="101"/>
      <c r="K27" s="104"/>
      <c r="L27" s="101"/>
      <c r="M27" s="104"/>
    </row>
    <row r="28" spans="1:13" s="69" customFormat="1" ht="13.5">
      <c r="A28" s="68"/>
      <c r="B28" s="83"/>
      <c r="C28" s="66" t="s">
        <v>148</v>
      </c>
      <c r="D28" s="66" t="s">
        <v>21</v>
      </c>
      <c r="E28" s="84" t="s">
        <v>54</v>
      </c>
      <c r="F28" s="67">
        <v>18</v>
      </c>
      <c r="G28" s="67"/>
      <c r="H28" s="67"/>
      <c r="I28" s="103"/>
      <c r="J28" s="101"/>
      <c r="K28" s="104"/>
      <c r="L28" s="101"/>
      <c r="M28" s="104"/>
    </row>
    <row r="29" spans="1:13" s="69" customFormat="1" ht="13.5">
      <c r="A29" s="68"/>
      <c r="B29" s="83"/>
      <c r="C29" s="66" t="s">
        <v>104</v>
      </c>
      <c r="D29" s="66" t="s">
        <v>23</v>
      </c>
      <c r="E29" s="105">
        <v>0.0097</v>
      </c>
      <c r="F29" s="67">
        <f>F24*E29</f>
        <v>12.998000000000001</v>
      </c>
      <c r="G29" s="67"/>
      <c r="H29" s="67"/>
      <c r="I29" s="103"/>
      <c r="J29" s="101"/>
      <c r="K29" s="104"/>
      <c r="L29" s="101"/>
      <c r="M29" s="104"/>
    </row>
    <row r="30" spans="1:13" s="76" customFormat="1" ht="38.25">
      <c r="A30" s="181">
        <v>6</v>
      </c>
      <c r="B30" s="161" t="s">
        <v>149</v>
      </c>
      <c r="C30" s="177" t="s">
        <v>150</v>
      </c>
      <c r="D30" s="177" t="s">
        <v>21</v>
      </c>
      <c r="E30" s="182"/>
      <c r="F30" s="183">
        <v>35</v>
      </c>
      <c r="G30" s="183"/>
      <c r="H30" s="183"/>
      <c r="I30" s="101"/>
      <c r="J30" s="101"/>
      <c r="K30" s="102"/>
      <c r="L30" s="101"/>
      <c r="M30" s="102"/>
    </row>
    <row r="31" spans="1:13" s="69" customFormat="1" ht="13.5">
      <c r="A31" s="68"/>
      <c r="B31" s="83"/>
      <c r="C31" s="66" t="s">
        <v>141</v>
      </c>
      <c r="D31" s="66" t="s">
        <v>10</v>
      </c>
      <c r="E31" s="105">
        <v>0.192</v>
      </c>
      <c r="F31" s="67">
        <f>F30*E31</f>
        <v>6.72</v>
      </c>
      <c r="G31" s="67"/>
      <c r="H31" s="67"/>
      <c r="I31" s="103"/>
      <c r="J31" s="101"/>
      <c r="K31" s="103"/>
      <c r="L31" s="101"/>
      <c r="M31" s="104"/>
    </row>
    <row r="32" spans="1:13" s="69" customFormat="1" ht="13.5">
      <c r="A32" s="68"/>
      <c r="B32" s="83"/>
      <c r="C32" s="66" t="s">
        <v>151</v>
      </c>
      <c r="D32" s="66" t="s">
        <v>21</v>
      </c>
      <c r="E32" s="84" t="s">
        <v>54</v>
      </c>
      <c r="F32" s="67">
        <v>10</v>
      </c>
      <c r="G32" s="67"/>
      <c r="H32" s="67"/>
      <c r="I32" s="103"/>
      <c r="J32" s="101"/>
      <c r="K32" s="104"/>
      <c r="L32" s="101"/>
      <c r="M32" s="104"/>
    </row>
    <row r="33" spans="1:13" s="69" customFormat="1" ht="13.5">
      <c r="A33" s="68"/>
      <c r="B33" s="83"/>
      <c r="C33" s="66" t="s">
        <v>104</v>
      </c>
      <c r="D33" s="66" t="s">
        <v>23</v>
      </c>
      <c r="E33" s="105">
        <v>0.0266</v>
      </c>
      <c r="F33" s="67">
        <f>F30*E33</f>
        <v>0.9309999999999999</v>
      </c>
      <c r="G33" s="67"/>
      <c r="H33" s="67"/>
      <c r="I33" s="103"/>
      <c r="J33" s="101"/>
      <c r="K33" s="104"/>
      <c r="L33" s="101"/>
      <c r="M33" s="104"/>
    </row>
    <row r="34" spans="1:13" s="76" customFormat="1" ht="38.25">
      <c r="A34" s="181">
        <v>7</v>
      </c>
      <c r="B34" s="161" t="s">
        <v>152</v>
      </c>
      <c r="C34" s="177" t="s">
        <v>153</v>
      </c>
      <c r="D34" s="177" t="s">
        <v>21</v>
      </c>
      <c r="E34" s="182"/>
      <c r="F34" s="183">
        <v>35</v>
      </c>
      <c r="G34" s="183"/>
      <c r="H34" s="183"/>
      <c r="I34" s="101"/>
      <c r="J34" s="101"/>
      <c r="K34" s="102"/>
      <c r="L34" s="101"/>
      <c r="M34" s="102"/>
    </row>
    <row r="35" spans="1:13" s="69" customFormat="1" ht="13.5">
      <c r="A35" s="68"/>
      <c r="B35" s="83"/>
      <c r="C35" s="66" t="s">
        <v>141</v>
      </c>
      <c r="D35" s="66" t="s">
        <v>10</v>
      </c>
      <c r="E35" s="84">
        <v>0.192</v>
      </c>
      <c r="F35" s="67">
        <f>F34*E35</f>
        <v>6.72</v>
      </c>
      <c r="G35" s="67"/>
      <c r="H35" s="67"/>
      <c r="I35" s="103"/>
      <c r="J35" s="101"/>
      <c r="K35" s="103"/>
      <c r="L35" s="101"/>
      <c r="M35" s="104"/>
    </row>
    <row r="36" spans="1:13" s="69" customFormat="1" ht="27">
      <c r="A36" s="68"/>
      <c r="B36" s="83"/>
      <c r="C36" s="66" t="s">
        <v>154</v>
      </c>
      <c r="D36" s="66" t="s">
        <v>21</v>
      </c>
      <c r="E36" s="84" t="s">
        <v>54</v>
      </c>
      <c r="F36" s="67">
        <f>F34</f>
        <v>35</v>
      </c>
      <c r="G36" s="67"/>
      <c r="H36" s="67"/>
      <c r="I36" s="103"/>
      <c r="J36" s="101"/>
      <c r="K36" s="104"/>
      <c r="L36" s="101"/>
      <c r="M36" s="104"/>
    </row>
    <row r="37" spans="1:13" s="69" customFormat="1" ht="13.5">
      <c r="A37" s="68"/>
      <c r="B37" s="83"/>
      <c r="C37" s="66" t="s">
        <v>104</v>
      </c>
      <c r="D37" s="66" t="s">
        <v>23</v>
      </c>
      <c r="E37" s="105">
        <v>0.0234</v>
      </c>
      <c r="F37" s="67">
        <f>F34*E37</f>
        <v>0.8190000000000001</v>
      </c>
      <c r="G37" s="67"/>
      <c r="H37" s="67"/>
      <c r="I37" s="103"/>
      <c r="J37" s="101"/>
      <c r="K37" s="104"/>
      <c r="L37" s="101"/>
      <c r="M37" s="104"/>
    </row>
    <row r="38" spans="1:10" s="76" customFormat="1" ht="38.25">
      <c r="A38" s="178" t="s">
        <v>16</v>
      </c>
      <c r="B38" s="161" t="s">
        <v>179</v>
      </c>
      <c r="C38" s="177" t="s">
        <v>171</v>
      </c>
      <c r="D38" s="177" t="s">
        <v>21</v>
      </c>
      <c r="E38" s="182"/>
      <c r="F38" s="183">
        <v>167</v>
      </c>
      <c r="G38" s="183"/>
      <c r="H38" s="183"/>
      <c r="J38" s="101"/>
    </row>
    <row r="39" spans="1:11" ht="13.5">
      <c r="A39" s="106"/>
      <c r="B39" s="83"/>
      <c r="C39" s="66" t="s">
        <v>141</v>
      </c>
      <c r="D39" s="66" t="s">
        <v>10</v>
      </c>
      <c r="E39" s="84">
        <v>0.566</v>
      </c>
      <c r="F39" s="107">
        <f>F38*E39</f>
        <v>94.52199999999999</v>
      </c>
      <c r="G39" s="107"/>
      <c r="H39" s="107"/>
      <c r="J39" s="101"/>
      <c r="K39" s="103"/>
    </row>
    <row r="40" spans="1:11" s="111" customFormat="1" ht="13.5">
      <c r="A40" s="109"/>
      <c r="B40" s="110"/>
      <c r="C40" s="66" t="s">
        <v>166</v>
      </c>
      <c r="D40" s="85" t="s">
        <v>21</v>
      </c>
      <c r="E40" s="84" t="s">
        <v>54</v>
      </c>
      <c r="F40" s="89">
        <f>F38</f>
        <v>167</v>
      </c>
      <c r="G40" s="89"/>
      <c r="H40" s="107"/>
      <c r="J40" s="101"/>
      <c r="K40" s="112"/>
    </row>
    <row r="41" spans="1:11" s="111" customFormat="1" ht="13.5">
      <c r="A41" s="109"/>
      <c r="B41" s="110"/>
      <c r="C41" s="66" t="s">
        <v>104</v>
      </c>
      <c r="D41" s="66" t="s">
        <v>23</v>
      </c>
      <c r="E41" s="87">
        <v>0.524</v>
      </c>
      <c r="F41" s="89">
        <f>F38*E41</f>
        <v>87.50800000000001</v>
      </c>
      <c r="G41" s="89"/>
      <c r="H41" s="107"/>
      <c r="J41" s="101"/>
      <c r="K41" s="112"/>
    </row>
    <row r="42" spans="1:10" s="76" customFormat="1" ht="51">
      <c r="A42" s="178" t="s">
        <v>66</v>
      </c>
      <c r="B42" s="161" t="s">
        <v>181</v>
      </c>
      <c r="C42" s="177" t="s">
        <v>174</v>
      </c>
      <c r="D42" s="177" t="s">
        <v>21</v>
      </c>
      <c r="E42" s="182"/>
      <c r="F42" s="183">
        <v>1</v>
      </c>
      <c r="G42" s="183"/>
      <c r="H42" s="183"/>
      <c r="J42" s="101"/>
    </row>
    <row r="43" spans="1:11" ht="13.5">
      <c r="A43" s="106"/>
      <c r="B43" s="83"/>
      <c r="C43" s="66" t="s">
        <v>141</v>
      </c>
      <c r="D43" s="66" t="s">
        <v>10</v>
      </c>
      <c r="E43" s="84">
        <v>1.52</v>
      </c>
      <c r="F43" s="107">
        <f>F42*E43</f>
        <v>1.52</v>
      </c>
      <c r="G43" s="107"/>
      <c r="H43" s="107"/>
      <c r="J43" s="101"/>
      <c r="K43" s="103"/>
    </row>
    <row r="44" spans="1:11" ht="40.5">
      <c r="A44" s="106">
        <v>10</v>
      </c>
      <c r="B44" s="83"/>
      <c r="C44" s="66" t="s">
        <v>175</v>
      </c>
      <c r="D44" s="66" t="s">
        <v>21</v>
      </c>
      <c r="E44" s="84">
        <v>1</v>
      </c>
      <c r="F44" s="107">
        <f>F42*E44</f>
        <v>1</v>
      </c>
      <c r="G44" s="107"/>
      <c r="H44" s="107"/>
      <c r="J44" s="101"/>
      <c r="K44" s="103"/>
    </row>
    <row r="45" spans="1:11" s="111" customFormat="1" ht="13.5">
      <c r="A45" s="109"/>
      <c r="B45" s="110"/>
      <c r="C45" s="66" t="s">
        <v>104</v>
      </c>
      <c r="D45" s="66" t="s">
        <v>23</v>
      </c>
      <c r="E45" s="87">
        <v>0.82</v>
      </c>
      <c r="F45" s="89">
        <f>F42*E45</f>
        <v>0.82</v>
      </c>
      <c r="G45" s="89"/>
      <c r="H45" s="107"/>
      <c r="J45" s="101"/>
      <c r="K45" s="112"/>
    </row>
    <row r="46" spans="1:10" s="76" customFormat="1" ht="38.25">
      <c r="A46" s="178" t="s">
        <v>67</v>
      </c>
      <c r="B46" s="161" t="s">
        <v>180</v>
      </c>
      <c r="C46" s="177" t="s">
        <v>176</v>
      </c>
      <c r="D46" s="177" t="s">
        <v>21</v>
      </c>
      <c r="E46" s="182"/>
      <c r="F46" s="183">
        <v>3</v>
      </c>
      <c r="G46" s="183"/>
      <c r="H46" s="183"/>
      <c r="J46" s="101"/>
    </row>
    <row r="47" spans="1:11" ht="13.5">
      <c r="A47" s="106"/>
      <c r="B47" s="83"/>
      <c r="C47" s="66" t="s">
        <v>141</v>
      </c>
      <c r="D47" s="66" t="s">
        <v>10</v>
      </c>
      <c r="E47" s="84">
        <v>1.52</v>
      </c>
      <c r="F47" s="107">
        <f>F46*E47</f>
        <v>4.5600000000000005</v>
      </c>
      <c r="G47" s="107"/>
      <c r="H47" s="107"/>
      <c r="J47" s="101"/>
      <c r="K47" s="103"/>
    </row>
    <row r="48" spans="1:11" ht="27">
      <c r="A48" s="106"/>
      <c r="B48" s="83"/>
      <c r="C48" s="66" t="s">
        <v>176</v>
      </c>
      <c r="D48" s="66" t="s">
        <v>21</v>
      </c>
      <c r="E48" s="84">
        <v>1</v>
      </c>
      <c r="F48" s="107">
        <f>F46*E48</f>
        <v>3</v>
      </c>
      <c r="G48" s="107"/>
      <c r="H48" s="107"/>
      <c r="J48" s="101"/>
      <c r="K48" s="103"/>
    </row>
    <row r="49" spans="1:11" s="111" customFormat="1" ht="13.5">
      <c r="A49" s="109"/>
      <c r="B49" s="110"/>
      <c r="C49" s="66" t="s">
        <v>104</v>
      </c>
      <c r="D49" s="66" t="s">
        <v>23</v>
      </c>
      <c r="E49" s="87">
        <v>0.82</v>
      </c>
      <c r="F49" s="89">
        <f>F46*E49</f>
        <v>2.46</v>
      </c>
      <c r="G49" s="89"/>
      <c r="H49" s="107"/>
      <c r="J49" s="101"/>
      <c r="K49" s="112"/>
    </row>
    <row r="50" spans="1:10" s="76" customFormat="1" ht="38.25">
      <c r="A50" s="178" t="s">
        <v>79</v>
      </c>
      <c r="B50" s="161" t="s">
        <v>155</v>
      </c>
      <c r="C50" s="177" t="s">
        <v>156</v>
      </c>
      <c r="D50" s="177" t="s">
        <v>21</v>
      </c>
      <c r="E50" s="182"/>
      <c r="F50" s="183">
        <v>1</v>
      </c>
      <c r="G50" s="183"/>
      <c r="H50" s="183"/>
      <c r="J50" s="101"/>
    </row>
    <row r="51" spans="1:11" ht="13.5">
      <c r="A51" s="106"/>
      <c r="B51" s="83"/>
      <c r="C51" s="66" t="s">
        <v>47</v>
      </c>
      <c r="D51" s="66" t="s">
        <v>10</v>
      </c>
      <c r="E51" s="84">
        <v>1.04</v>
      </c>
      <c r="F51" s="107">
        <f>F50*E51</f>
        <v>1.04</v>
      </c>
      <c r="G51" s="107"/>
      <c r="H51" s="107"/>
      <c r="J51" s="101"/>
      <c r="K51" s="103"/>
    </row>
    <row r="52" spans="1:11" s="111" customFormat="1" ht="13.5">
      <c r="A52" s="109"/>
      <c r="B52" s="110"/>
      <c r="C52" s="66" t="s">
        <v>48</v>
      </c>
      <c r="D52" s="66" t="s">
        <v>23</v>
      </c>
      <c r="E52" s="84">
        <v>0.08</v>
      </c>
      <c r="F52" s="89">
        <f>F50*E52</f>
        <v>0.08</v>
      </c>
      <c r="G52" s="89"/>
      <c r="H52" s="107"/>
      <c r="J52" s="101"/>
      <c r="K52" s="112"/>
    </row>
    <row r="53" spans="1:11" s="111" customFormat="1" ht="13.5">
      <c r="A53" s="109"/>
      <c r="B53" s="110"/>
      <c r="C53" s="66" t="s">
        <v>157</v>
      </c>
      <c r="D53" s="85" t="s">
        <v>101</v>
      </c>
      <c r="E53" s="87">
        <v>6</v>
      </c>
      <c r="F53" s="89">
        <f>F50*E53</f>
        <v>6</v>
      </c>
      <c r="G53" s="89"/>
      <c r="H53" s="107"/>
      <c r="J53" s="101"/>
      <c r="K53" s="112"/>
    </row>
    <row r="54" spans="1:11" s="111" customFormat="1" ht="13.5">
      <c r="A54" s="109"/>
      <c r="B54" s="110"/>
      <c r="C54" s="66" t="s">
        <v>104</v>
      </c>
      <c r="D54" s="66" t="s">
        <v>23</v>
      </c>
      <c r="E54" s="87">
        <v>1.4</v>
      </c>
      <c r="F54" s="89">
        <f>F50*E54</f>
        <v>1.4</v>
      </c>
      <c r="G54" s="89"/>
      <c r="H54" s="107"/>
      <c r="J54" s="101"/>
      <c r="K54" s="112"/>
    </row>
    <row r="55" spans="1:10" s="76" customFormat="1" ht="38.25">
      <c r="A55" s="178" t="s">
        <v>134</v>
      </c>
      <c r="B55" s="161" t="s">
        <v>158</v>
      </c>
      <c r="C55" s="177" t="s">
        <v>159</v>
      </c>
      <c r="D55" s="177" t="s">
        <v>101</v>
      </c>
      <c r="E55" s="182"/>
      <c r="F55" s="183">
        <f>3.6</f>
        <v>3.6</v>
      </c>
      <c r="G55" s="183"/>
      <c r="H55" s="183"/>
      <c r="J55" s="101"/>
    </row>
    <row r="56" spans="1:11" ht="13.5">
      <c r="A56" s="106"/>
      <c r="B56" s="83"/>
      <c r="C56" s="66" t="s">
        <v>47</v>
      </c>
      <c r="D56" s="66" t="s">
        <v>10</v>
      </c>
      <c r="E56" s="84">
        <v>0.14</v>
      </c>
      <c r="F56" s="107">
        <f>F55*E56</f>
        <v>0.5040000000000001</v>
      </c>
      <c r="G56" s="107"/>
      <c r="H56" s="107"/>
      <c r="J56" s="101"/>
      <c r="K56" s="103"/>
    </row>
    <row r="57" spans="1:11" s="111" customFormat="1" ht="13.5">
      <c r="A57" s="109"/>
      <c r="B57" s="110"/>
      <c r="C57" s="66" t="s">
        <v>48</v>
      </c>
      <c r="D57" s="66" t="s">
        <v>23</v>
      </c>
      <c r="E57" s="84">
        <v>0.01</v>
      </c>
      <c r="F57" s="89">
        <f>F55*E57</f>
        <v>0.036000000000000004</v>
      </c>
      <c r="G57" s="89"/>
      <c r="H57" s="107"/>
      <c r="J57" s="101"/>
      <c r="K57" s="112"/>
    </row>
    <row r="58" spans="1:11" s="111" customFormat="1" ht="13.5">
      <c r="A58" s="109"/>
      <c r="B58" s="110"/>
      <c r="C58" s="66" t="s">
        <v>160</v>
      </c>
      <c r="D58" s="85" t="s">
        <v>101</v>
      </c>
      <c r="E58" s="87">
        <v>1</v>
      </c>
      <c r="F58" s="89">
        <f>F55*E58</f>
        <v>3.6</v>
      </c>
      <c r="G58" s="89"/>
      <c r="H58" s="107"/>
      <c r="J58" s="101"/>
      <c r="K58" s="112"/>
    </row>
    <row r="59" spans="1:11" s="111" customFormat="1" ht="13.5">
      <c r="A59" s="109"/>
      <c r="B59" s="110"/>
      <c r="C59" s="66" t="s">
        <v>104</v>
      </c>
      <c r="D59" s="66" t="s">
        <v>23</v>
      </c>
      <c r="E59" s="87">
        <v>0.193</v>
      </c>
      <c r="F59" s="89">
        <f>F55*E59</f>
        <v>0.6948000000000001</v>
      </c>
      <c r="G59" s="89"/>
      <c r="H59" s="107"/>
      <c r="J59" s="101"/>
      <c r="K59" s="112"/>
    </row>
    <row r="60" spans="1:9" s="59" customFormat="1" ht="19.5" customHeight="1">
      <c r="A60" s="68"/>
      <c r="B60" s="83"/>
      <c r="C60" s="82" t="s">
        <v>25</v>
      </c>
      <c r="D60" s="82" t="s">
        <v>23</v>
      </c>
      <c r="E60" s="75"/>
      <c r="F60" s="75"/>
      <c r="G60" s="75"/>
      <c r="H60" s="75"/>
      <c r="I60" s="60"/>
    </row>
    <row r="61" spans="1:9" s="59" customFormat="1" ht="15.75">
      <c r="A61" s="68"/>
      <c r="B61" s="83"/>
      <c r="C61" s="66" t="s">
        <v>209</v>
      </c>
      <c r="D61" s="113">
        <v>0.03</v>
      </c>
      <c r="E61" s="75"/>
      <c r="F61" s="75"/>
      <c r="G61" s="75"/>
      <c r="H61" s="67"/>
      <c r="I61" s="60"/>
    </row>
    <row r="62" spans="1:9" s="59" customFormat="1" ht="15.75">
      <c r="A62" s="68"/>
      <c r="B62" s="83"/>
      <c r="C62" s="66" t="s">
        <v>37</v>
      </c>
      <c r="D62" s="82" t="s">
        <v>23</v>
      </c>
      <c r="E62" s="75"/>
      <c r="F62" s="75"/>
      <c r="G62" s="75"/>
      <c r="H62" s="67"/>
      <c r="I62" s="60"/>
    </row>
    <row r="63" spans="1:8" s="59" customFormat="1" ht="30.75" customHeight="1">
      <c r="A63" s="68"/>
      <c r="B63" s="83"/>
      <c r="C63" s="66" t="s">
        <v>161</v>
      </c>
      <c r="D63" s="113" t="s">
        <v>393</v>
      </c>
      <c r="E63" s="75"/>
      <c r="F63" s="75"/>
      <c r="G63" s="75"/>
      <c r="H63" s="67"/>
    </row>
    <row r="64" spans="1:8" s="59" customFormat="1" ht="15.75">
      <c r="A64" s="68"/>
      <c r="B64" s="83"/>
      <c r="C64" s="66" t="s">
        <v>25</v>
      </c>
      <c r="D64" s="82" t="s">
        <v>23</v>
      </c>
      <c r="E64" s="75"/>
      <c r="F64" s="75"/>
      <c r="G64" s="75"/>
      <c r="H64" s="67"/>
    </row>
    <row r="65" spans="1:8" s="59" customFormat="1" ht="19.5" customHeight="1">
      <c r="A65" s="68"/>
      <c r="B65" s="83"/>
      <c r="C65" s="66" t="s">
        <v>45</v>
      </c>
      <c r="D65" s="113" t="s">
        <v>393</v>
      </c>
      <c r="E65" s="75"/>
      <c r="F65" s="75"/>
      <c r="G65" s="75"/>
      <c r="H65" s="67"/>
    </row>
    <row r="66" spans="1:8" s="59" customFormat="1" ht="19.5" customHeight="1">
      <c r="A66" s="65"/>
      <c r="B66" s="83"/>
      <c r="C66" s="82" t="s">
        <v>26</v>
      </c>
      <c r="D66" s="82" t="s">
        <v>23</v>
      </c>
      <c r="E66" s="75"/>
      <c r="F66" s="75"/>
      <c r="G66" s="75"/>
      <c r="H66" s="75"/>
    </row>
    <row r="67" spans="1:8" s="59" customFormat="1" ht="15.75">
      <c r="A67" s="92"/>
      <c r="B67" s="93"/>
      <c r="C67" s="76"/>
      <c r="D67" s="69"/>
      <c r="E67" s="69"/>
      <c r="F67" s="69"/>
      <c r="G67" s="69" t="s">
        <v>27</v>
      </c>
      <c r="H67" s="95"/>
    </row>
    <row r="68" spans="1:8" s="187" customFormat="1" ht="45" customHeight="1">
      <c r="A68" s="92"/>
      <c r="B68" s="93"/>
      <c r="C68" s="76"/>
      <c r="D68" s="186"/>
      <c r="E68" s="186"/>
      <c r="F68" s="186"/>
      <c r="G68" s="186"/>
      <c r="H68" s="188"/>
    </row>
    <row r="69" spans="1:8" ht="15.75">
      <c r="A69" s="96"/>
      <c r="B69" s="96"/>
      <c r="C69" s="96"/>
      <c r="D69" s="96"/>
      <c r="E69" s="96"/>
      <c r="F69" s="96"/>
      <c r="G69" s="96"/>
      <c r="H69" s="98"/>
    </row>
    <row r="70" spans="1:8" ht="15.75">
      <c r="A70" s="96"/>
      <c r="B70" s="96"/>
      <c r="C70" s="96"/>
      <c r="D70" s="96"/>
      <c r="E70" s="96"/>
      <c r="F70" s="96"/>
      <c r="G70" s="96"/>
      <c r="H70" s="98"/>
    </row>
  </sheetData>
  <sheetProtection/>
  <mergeCells count="10">
    <mergeCell ref="A6:A7"/>
    <mergeCell ref="B6:B7"/>
    <mergeCell ref="C6:C7"/>
    <mergeCell ref="D6:D7"/>
    <mergeCell ref="E6:F6"/>
    <mergeCell ref="G6:H6"/>
    <mergeCell ref="A1:H1"/>
    <mergeCell ref="A2:H2"/>
    <mergeCell ref="A3:H3"/>
    <mergeCell ref="A5:H5"/>
  </mergeCells>
  <printOptions/>
  <pageMargins left="0.32" right="0.19" top="0.24" bottom="0.24" header="0.24" footer="0.24"/>
  <pageSetup horizontalDpi="600" verticalDpi="600" orientation="portrait" paperSize="9" scale="87" r:id="rId1"/>
  <rowBreaks count="1" manualBreakCount="1">
    <brk id="33" max="7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15" zoomScaleSheetLayoutView="115" zoomScalePageLayoutView="0" workbookViewId="0" topLeftCell="A13">
      <selection activeCell="A4" sqref="A4:IV4"/>
    </sheetView>
  </sheetViews>
  <sheetFormatPr defaultColWidth="9.140625" defaultRowHeight="12.75"/>
  <cols>
    <col min="1" max="1" width="4.00390625" style="61" customWidth="1"/>
    <col min="2" max="2" width="16.140625" style="93" customWidth="1"/>
    <col min="3" max="3" width="38.140625" style="59" customWidth="1"/>
    <col min="4" max="4" width="9.140625" style="59" customWidth="1"/>
    <col min="5" max="5" width="8.7109375" style="59" customWidth="1"/>
    <col min="6" max="6" width="9.8515625" style="59" customWidth="1"/>
    <col min="7" max="7" width="9.140625" style="60" customWidth="1"/>
    <col min="8" max="8" width="11.421875" style="98" customWidth="1"/>
    <col min="9" max="16384" width="9.140625" style="59" customWidth="1"/>
  </cols>
  <sheetData>
    <row r="1" spans="1:8" ht="15.75">
      <c r="A1" s="202" t="s">
        <v>375</v>
      </c>
      <c r="B1" s="202"/>
      <c r="C1" s="202"/>
      <c r="D1" s="202"/>
      <c r="E1" s="202"/>
      <c r="F1" s="202"/>
      <c r="G1" s="202"/>
      <c r="H1" s="202"/>
    </row>
    <row r="2" spans="1:8" ht="33.75" customHeight="1">
      <c r="A2" s="203" t="str">
        <f>'1-3'!A2:H2</f>
        <v>onis municipalitetis sof Rebis sajaro skolis Senobis reabilitacia</v>
      </c>
      <c r="B2" s="203"/>
      <c r="C2" s="203"/>
      <c r="D2" s="203"/>
      <c r="E2" s="203"/>
      <c r="F2" s="203"/>
      <c r="G2" s="203"/>
      <c r="H2" s="203"/>
    </row>
    <row r="3" spans="1:8" ht="15.75">
      <c r="A3" s="202" t="s">
        <v>165</v>
      </c>
      <c r="B3" s="202"/>
      <c r="C3" s="202"/>
      <c r="D3" s="202"/>
      <c r="E3" s="202"/>
      <c r="F3" s="202"/>
      <c r="G3" s="202"/>
      <c r="H3" s="202"/>
    </row>
    <row r="4" spans="1:8" ht="15.75">
      <c r="A4" s="59"/>
      <c r="B4" s="61"/>
      <c r="H4" s="59"/>
    </row>
    <row r="5" spans="1:8" ht="15.75">
      <c r="A5" s="219">
        <f>NAKREBI!A7</f>
        <v>0</v>
      </c>
      <c r="B5" s="219"/>
      <c r="C5" s="219"/>
      <c r="D5" s="219"/>
      <c r="E5" s="219"/>
      <c r="F5" s="219"/>
      <c r="G5" s="219"/>
      <c r="H5" s="219"/>
    </row>
    <row r="6" spans="1:8" ht="36" customHeight="1">
      <c r="A6" s="207" t="s">
        <v>1</v>
      </c>
      <c r="B6" s="207" t="s">
        <v>2</v>
      </c>
      <c r="C6" s="209" t="s">
        <v>3</v>
      </c>
      <c r="D6" s="209" t="s">
        <v>4</v>
      </c>
      <c r="E6" s="205" t="s">
        <v>5</v>
      </c>
      <c r="F6" s="206"/>
      <c r="G6" s="205" t="s">
        <v>40</v>
      </c>
      <c r="H6" s="206"/>
    </row>
    <row r="7" spans="1:8" ht="73.5" customHeight="1">
      <c r="A7" s="208"/>
      <c r="B7" s="208"/>
      <c r="C7" s="210"/>
      <c r="D7" s="210"/>
      <c r="E7" s="62" t="s">
        <v>6</v>
      </c>
      <c r="F7" s="62" t="s">
        <v>7</v>
      </c>
      <c r="G7" s="63" t="s">
        <v>6</v>
      </c>
      <c r="H7" s="64" t="s">
        <v>7</v>
      </c>
    </row>
    <row r="8" spans="1:8" s="69" customFormat="1" ht="13.5">
      <c r="A8" s="65" t="s">
        <v>8</v>
      </c>
      <c r="B8" s="65">
        <v>2</v>
      </c>
      <c r="C8" s="66">
        <v>3</v>
      </c>
      <c r="D8" s="66">
        <v>4</v>
      </c>
      <c r="E8" s="66">
        <v>5</v>
      </c>
      <c r="F8" s="66">
        <v>6</v>
      </c>
      <c r="G8" s="67">
        <v>7</v>
      </c>
      <c r="H8" s="68">
        <v>8</v>
      </c>
    </row>
    <row r="9" spans="1:8" s="69" customFormat="1" ht="15.75">
      <c r="A9" s="65"/>
      <c r="B9" s="65"/>
      <c r="C9" s="70" t="s">
        <v>44</v>
      </c>
      <c r="D9" s="66"/>
      <c r="E9" s="66"/>
      <c r="F9" s="66"/>
      <c r="G9" s="67"/>
      <c r="H9" s="68"/>
    </row>
    <row r="10" spans="1:8" s="69" customFormat="1" ht="43.5" customHeight="1">
      <c r="A10" s="90" t="s">
        <v>8</v>
      </c>
      <c r="B10" s="71" t="s">
        <v>386</v>
      </c>
      <c r="C10" s="82" t="s">
        <v>189</v>
      </c>
      <c r="D10" s="82" t="s">
        <v>70</v>
      </c>
      <c r="E10" s="73"/>
      <c r="F10" s="73">
        <f>(4*2*2+10*1.5*1)/1000</f>
        <v>0.031</v>
      </c>
      <c r="G10" s="75"/>
      <c r="H10" s="75"/>
    </row>
    <row r="11" spans="1:8" s="69" customFormat="1" ht="13.5">
      <c r="A11" s="77"/>
      <c r="B11" s="71"/>
      <c r="C11" s="66" t="s">
        <v>42</v>
      </c>
      <c r="D11" s="66" t="s">
        <v>10</v>
      </c>
      <c r="E11" s="84">
        <v>16.5</v>
      </c>
      <c r="F11" s="84">
        <f>F10*E11</f>
        <v>0.5115</v>
      </c>
      <c r="G11" s="67"/>
      <c r="H11" s="79"/>
    </row>
    <row r="12" spans="1:8" s="76" customFormat="1" ht="13.5">
      <c r="A12" s="77"/>
      <c r="B12" s="71"/>
      <c r="C12" s="66" t="s">
        <v>188</v>
      </c>
      <c r="D12" s="66" t="s">
        <v>24</v>
      </c>
      <c r="E12" s="84">
        <v>37</v>
      </c>
      <c r="F12" s="84">
        <f>F10*E12</f>
        <v>1.147</v>
      </c>
      <c r="G12" s="67"/>
      <c r="H12" s="79"/>
    </row>
    <row r="13" spans="1:8" s="69" customFormat="1" ht="25.5">
      <c r="A13" s="81" t="s">
        <v>41</v>
      </c>
      <c r="B13" s="71" t="s">
        <v>385</v>
      </c>
      <c r="C13" s="71" t="s">
        <v>71</v>
      </c>
      <c r="D13" s="71" t="s">
        <v>198</v>
      </c>
      <c r="E13" s="72"/>
      <c r="F13" s="72">
        <f>4*2/1000</f>
        <v>0.008</v>
      </c>
      <c r="G13" s="74"/>
      <c r="H13" s="75"/>
    </row>
    <row r="14" spans="1:8" s="69" customFormat="1" ht="13.5">
      <c r="A14" s="121"/>
      <c r="B14" s="77"/>
      <c r="C14" s="77" t="s">
        <v>72</v>
      </c>
      <c r="D14" s="77" t="s">
        <v>10</v>
      </c>
      <c r="E14" s="78">
        <f>216</f>
        <v>216</v>
      </c>
      <c r="F14" s="78">
        <f>F13*E14</f>
        <v>1.728</v>
      </c>
      <c r="G14" s="79"/>
      <c r="H14" s="79"/>
    </row>
    <row r="15" spans="1:8" s="69" customFormat="1" ht="30.75" customHeight="1">
      <c r="A15" s="90" t="s">
        <v>11</v>
      </c>
      <c r="B15" s="71" t="s">
        <v>204</v>
      </c>
      <c r="C15" s="82" t="s">
        <v>167</v>
      </c>
      <c r="D15" s="82" t="s">
        <v>73</v>
      </c>
      <c r="E15" s="73"/>
      <c r="F15" s="73">
        <f>(4*2*2+1.7*3*2+4*2+2*2)*0.15/100</f>
        <v>0.057300000000000004</v>
      </c>
      <c r="G15" s="75"/>
      <c r="H15" s="75"/>
    </row>
    <row r="16" spans="1:8" s="69" customFormat="1" ht="13.5">
      <c r="A16" s="90"/>
      <c r="B16" s="77"/>
      <c r="C16" s="66" t="s">
        <v>47</v>
      </c>
      <c r="D16" s="66" t="s">
        <v>10</v>
      </c>
      <c r="E16" s="67">
        <v>410</v>
      </c>
      <c r="F16" s="84">
        <f>E16*F15</f>
        <v>23.493000000000002</v>
      </c>
      <c r="G16" s="67"/>
      <c r="H16" s="79"/>
    </row>
    <row r="17" spans="1:8" s="76" customFormat="1" ht="13.5">
      <c r="A17" s="90"/>
      <c r="B17" s="77"/>
      <c r="C17" s="66" t="s">
        <v>49</v>
      </c>
      <c r="D17" s="66" t="s">
        <v>74</v>
      </c>
      <c r="E17" s="67">
        <v>112</v>
      </c>
      <c r="F17" s="84">
        <f>F15*E17</f>
        <v>6.4176</v>
      </c>
      <c r="G17" s="67"/>
      <c r="H17" s="79"/>
    </row>
    <row r="18" spans="1:8" s="76" customFormat="1" ht="13.5">
      <c r="A18" s="90"/>
      <c r="B18" s="77"/>
      <c r="C18" s="66" t="s">
        <v>75</v>
      </c>
      <c r="D18" s="66" t="s">
        <v>12</v>
      </c>
      <c r="E18" s="84">
        <v>101.5</v>
      </c>
      <c r="F18" s="84">
        <f>E18*F15</f>
        <v>5.81595</v>
      </c>
      <c r="G18" s="67"/>
      <c r="H18" s="79"/>
    </row>
    <row r="19" spans="1:8" s="76" customFormat="1" ht="13.5">
      <c r="A19" s="90"/>
      <c r="B19" s="77"/>
      <c r="C19" s="66" t="s">
        <v>187</v>
      </c>
      <c r="D19" s="66" t="s">
        <v>18</v>
      </c>
      <c r="E19" s="84">
        <v>88.1</v>
      </c>
      <c r="F19" s="84">
        <f>F15*E19</f>
        <v>5.04813</v>
      </c>
      <c r="G19" s="67"/>
      <c r="H19" s="79"/>
    </row>
    <row r="20" spans="1:8" s="76" customFormat="1" ht="13.5">
      <c r="A20" s="90"/>
      <c r="B20" s="77"/>
      <c r="C20" s="66" t="s">
        <v>168</v>
      </c>
      <c r="D20" s="66" t="s">
        <v>68</v>
      </c>
      <c r="E20" s="84" t="s">
        <v>172</v>
      </c>
      <c r="F20" s="84">
        <f>10*1.5*1</f>
        <v>15</v>
      </c>
      <c r="G20" s="67"/>
      <c r="H20" s="79"/>
    </row>
    <row r="21" spans="1:8" s="69" customFormat="1" ht="27">
      <c r="A21" s="90"/>
      <c r="B21" s="77"/>
      <c r="C21" s="66" t="s">
        <v>199</v>
      </c>
      <c r="D21" s="66" t="s">
        <v>12</v>
      </c>
      <c r="E21" s="84">
        <v>1</v>
      </c>
      <c r="F21" s="84">
        <f>F15*E21</f>
        <v>0.057300000000000004</v>
      </c>
      <c r="G21" s="67"/>
      <c r="H21" s="79"/>
    </row>
    <row r="22" spans="1:8" s="69" customFormat="1" ht="13.5">
      <c r="A22" s="90"/>
      <c r="B22" s="77"/>
      <c r="C22" s="66" t="s">
        <v>169</v>
      </c>
      <c r="D22" s="66" t="s">
        <v>96</v>
      </c>
      <c r="E22" s="84" t="s">
        <v>172</v>
      </c>
      <c r="F22" s="84">
        <v>4</v>
      </c>
      <c r="G22" s="67"/>
      <c r="H22" s="79"/>
    </row>
    <row r="23" spans="1:8" s="69" customFormat="1" ht="13.5">
      <c r="A23" s="90"/>
      <c r="B23" s="77"/>
      <c r="C23" s="66" t="s">
        <v>170</v>
      </c>
      <c r="D23" s="66" t="s">
        <v>96</v>
      </c>
      <c r="E23" s="84" t="s">
        <v>172</v>
      </c>
      <c r="F23" s="84">
        <v>10</v>
      </c>
      <c r="G23" s="67"/>
      <c r="H23" s="79"/>
    </row>
    <row r="24" spans="1:8" s="69" customFormat="1" ht="13.5">
      <c r="A24" s="90"/>
      <c r="B24" s="77"/>
      <c r="C24" s="66" t="s">
        <v>97</v>
      </c>
      <c r="D24" s="66" t="s">
        <v>96</v>
      </c>
      <c r="E24" s="84" t="s">
        <v>172</v>
      </c>
      <c r="F24" s="84">
        <f>434.4+220</f>
        <v>654.4</v>
      </c>
      <c r="G24" s="67"/>
      <c r="H24" s="79"/>
    </row>
    <row r="25" spans="1:8" s="69" customFormat="1" ht="13.5">
      <c r="A25" s="90"/>
      <c r="B25" s="77"/>
      <c r="C25" s="66" t="s">
        <v>19</v>
      </c>
      <c r="D25" s="66" t="s">
        <v>74</v>
      </c>
      <c r="E25" s="67">
        <v>26</v>
      </c>
      <c r="F25" s="84">
        <f>F15*E25</f>
        <v>1.4898</v>
      </c>
      <c r="G25" s="67"/>
      <c r="H25" s="79"/>
    </row>
    <row r="26" spans="1:8" s="69" customFormat="1" ht="27">
      <c r="A26" s="90" t="s">
        <v>13</v>
      </c>
      <c r="B26" s="71" t="s">
        <v>387</v>
      </c>
      <c r="C26" s="82" t="s">
        <v>200</v>
      </c>
      <c r="D26" s="82" t="s">
        <v>73</v>
      </c>
      <c r="E26" s="73"/>
      <c r="F26" s="73">
        <f>F10*10</f>
        <v>0.31</v>
      </c>
      <c r="G26" s="75"/>
      <c r="H26" s="75"/>
    </row>
    <row r="27" spans="1:8" s="69" customFormat="1" ht="13.5">
      <c r="A27" s="90"/>
      <c r="B27" s="71"/>
      <c r="C27" s="66" t="s">
        <v>42</v>
      </c>
      <c r="D27" s="66" t="s">
        <v>10</v>
      </c>
      <c r="E27" s="84">
        <v>16.5</v>
      </c>
      <c r="F27" s="84">
        <f>F26*E27</f>
        <v>5.115</v>
      </c>
      <c r="G27" s="67"/>
      <c r="H27" s="79"/>
    </row>
    <row r="28" spans="1:8" s="69" customFormat="1" ht="13.5">
      <c r="A28" s="90"/>
      <c r="B28" s="71"/>
      <c r="C28" s="66" t="s">
        <v>188</v>
      </c>
      <c r="D28" s="66" t="s">
        <v>24</v>
      </c>
      <c r="E28" s="84">
        <v>37</v>
      </c>
      <c r="F28" s="84">
        <f>F26*E28</f>
        <v>11.47</v>
      </c>
      <c r="G28" s="67"/>
      <c r="H28" s="79"/>
    </row>
    <row r="29" spans="1:8" s="76" customFormat="1" ht="27">
      <c r="A29" s="90" t="s">
        <v>202</v>
      </c>
      <c r="B29" s="71" t="s">
        <v>388</v>
      </c>
      <c r="C29" s="82" t="s">
        <v>201</v>
      </c>
      <c r="D29" s="82" t="s">
        <v>73</v>
      </c>
      <c r="E29" s="73"/>
      <c r="F29" s="73">
        <v>0.31</v>
      </c>
      <c r="G29" s="75"/>
      <c r="H29" s="75"/>
    </row>
    <row r="30" spans="1:8" s="76" customFormat="1" ht="13.5">
      <c r="A30" s="90"/>
      <c r="B30" s="71"/>
      <c r="C30" s="66" t="s">
        <v>42</v>
      </c>
      <c r="D30" s="66" t="s">
        <v>10</v>
      </c>
      <c r="E30" s="84">
        <v>13.4</v>
      </c>
      <c r="F30" s="84">
        <f>E30*F29</f>
        <v>4.154</v>
      </c>
      <c r="G30" s="67"/>
      <c r="H30" s="79"/>
    </row>
    <row r="31" spans="1:8" s="76" customFormat="1" ht="27">
      <c r="A31" s="90"/>
      <c r="B31" s="71"/>
      <c r="C31" s="66" t="s">
        <v>203</v>
      </c>
      <c r="D31" s="66" t="s">
        <v>24</v>
      </c>
      <c r="E31" s="84">
        <v>13</v>
      </c>
      <c r="F31" s="84">
        <f>F29*E31</f>
        <v>4.03</v>
      </c>
      <c r="G31" s="67"/>
      <c r="H31" s="79"/>
    </row>
    <row r="32" spans="1:9" ht="15.75">
      <c r="A32" s="68"/>
      <c r="B32" s="83"/>
      <c r="C32" s="82" t="s">
        <v>25</v>
      </c>
      <c r="D32" s="82" t="s">
        <v>23</v>
      </c>
      <c r="E32" s="67"/>
      <c r="F32" s="67"/>
      <c r="G32" s="67"/>
      <c r="H32" s="75"/>
      <c r="I32" s="60"/>
    </row>
    <row r="33" spans="1:9" ht="15.75">
      <c r="A33" s="68"/>
      <c r="B33" s="83"/>
      <c r="C33" s="66" t="s">
        <v>207</v>
      </c>
      <c r="D33" s="66" t="s">
        <v>23</v>
      </c>
      <c r="E33" s="67"/>
      <c r="F33" s="67"/>
      <c r="G33" s="67"/>
      <c r="H33" s="67"/>
      <c r="I33" s="60"/>
    </row>
    <row r="34" spans="1:9" ht="15.75">
      <c r="A34" s="68"/>
      <c r="B34" s="83"/>
      <c r="C34" s="66" t="s">
        <v>25</v>
      </c>
      <c r="D34" s="66" t="s">
        <v>23</v>
      </c>
      <c r="E34" s="67"/>
      <c r="F34" s="67"/>
      <c r="G34" s="67"/>
      <c r="H34" s="67"/>
      <c r="I34" s="60"/>
    </row>
    <row r="35" spans="1:8" ht="15.75">
      <c r="A35" s="91"/>
      <c r="B35" s="77"/>
      <c r="C35" s="66" t="s">
        <v>391</v>
      </c>
      <c r="D35" s="66" t="s">
        <v>23</v>
      </c>
      <c r="E35" s="67"/>
      <c r="F35" s="67"/>
      <c r="G35" s="67"/>
      <c r="H35" s="67"/>
    </row>
    <row r="36" spans="1:8" ht="15.75">
      <c r="A36" s="91"/>
      <c r="B36" s="77"/>
      <c r="C36" s="66" t="s">
        <v>25</v>
      </c>
      <c r="D36" s="66" t="s">
        <v>23</v>
      </c>
      <c r="E36" s="67"/>
      <c r="F36" s="67"/>
      <c r="G36" s="67"/>
      <c r="H36" s="67"/>
    </row>
    <row r="37" spans="1:8" ht="15.75">
      <c r="A37" s="91"/>
      <c r="B37" s="77"/>
      <c r="C37" s="66" t="s">
        <v>392</v>
      </c>
      <c r="D37" s="66" t="s">
        <v>23</v>
      </c>
      <c r="E37" s="67"/>
      <c r="F37" s="67"/>
      <c r="G37" s="67"/>
      <c r="H37" s="67"/>
    </row>
    <row r="38" spans="1:8" ht="15.75">
      <c r="A38" s="91"/>
      <c r="B38" s="77"/>
      <c r="C38" s="82" t="s">
        <v>26</v>
      </c>
      <c r="D38" s="82" t="s">
        <v>23</v>
      </c>
      <c r="E38" s="67"/>
      <c r="F38" s="67"/>
      <c r="G38" s="67"/>
      <c r="H38" s="75"/>
    </row>
    <row r="39" spans="1:8" ht="16.5" customHeight="1">
      <c r="A39" s="92"/>
      <c r="C39" s="76"/>
      <c r="D39" s="69"/>
      <c r="E39" s="69"/>
      <c r="F39" s="69"/>
      <c r="G39" s="94" t="s">
        <v>27</v>
      </c>
      <c r="H39" s="95"/>
    </row>
    <row r="40" spans="1:8" s="187" customFormat="1" ht="31.5" customHeight="1">
      <c r="A40" s="92"/>
      <c r="B40" s="93"/>
      <c r="C40" s="76"/>
      <c r="D40" s="186"/>
      <c r="E40" s="186"/>
      <c r="F40" s="186"/>
      <c r="G40" s="94"/>
      <c r="H40" s="188"/>
    </row>
    <row r="41" spans="1:7" ht="15.75">
      <c r="A41" s="96"/>
      <c r="B41" s="96"/>
      <c r="C41" s="96"/>
      <c r="D41" s="96"/>
      <c r="E41" s="96"/>
      <c r="F41" s="96"/>
      <c r="G41" s="97"/>
    </row>
    <row r="42" spans="1:7" ht="15.75">
      <c r="A42" s="96"/>
      <c r="B42" s="96"/>
      <c r="C42" s="96"/>
      <c r="D42" s="96"/>
      <c r="E42" s="96"/>
      <c r="F42" s="96"/>
      <c r="G42" s="97"/>
    </row>
  </sheetData>
  <sheetProtection/>
  <mergeCells count="10">
    <mergeCell ref="A6:A7"/>
    <mergeCell ref="B6:B7"/>
    <mergeCell ref="C6:C7"/>
    <mergeCell ref="D6:D7"/>
    <mergeCell ref="E6:F6"/>
    <mergeCell ref="G6:H6"/>
    <mergeCell ref="A1:H1"/>
    <mergeCell ref="A2:H2"/>
    <mergeCell ref="A3:H3"/>
    <mergeCell ref="A5:H5"/>
  </mergeCells>
  <printOptions/>
  <pageMargins left="0.3" right="0.22" top="0.24" bottom="0.24" header="0.3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Marine Maisuradze</cp:lastModifiedBy>
  <cp:lastPrinted>2019-04-07T10:43:45Z</cp:lastPrinted>
  <dcterms:created xsi:type="dcterms:W3CDTF">1996-10-14T23:33:28Z</dcterms:created>
  <dcterms:modified xsi:type="dcterms:W3CDTF">2019-04-19T10:54:39Z</dcterms:modified>
  <cp:category/>
  <cp:version/>
  <cp:contentType/>
  <cp:contentStatus/>
</cp:coreProperties>
</file>